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2810"/>
  <workbookPr autoCompressPictures="0"/>
  <bookViews>
    <workbookView xWindow="0" yWindow="0" windowWidth="14640" windowHeight="15840"/>
  </bookViews>
  <sheets>
    <sheet name="Welcome!" sheetId="52" r:id="rId1"/>
    <sheet name="Sample Spreadsheet" sheetId="50" r:id="rId2"/>
    <sheet name="Blank Spreadsheet" sheetId="51" r:id="rId3"/>
    <sheet name="Details" sheetId="53" r:id="rId4"/>
  </sheets>
  <definedNames>
    <definedName name="_xlnm.Print_Area" localSheetId="3">Details!$A$1:$C$58</definedName>
    <definedName name="_xlnm.Print_Area" localSheetId="1">'Sample Spreadsheet'!$A$1:$U$91</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H37" i="51" l="1"/>
  <c r="D37" i="51"/>
  <c r="L14" i="51"/>
  <c r="N14" i="51"/>
  <c r="H64" i="50"/>
  <c r="D64" i="50"/>
  <c r="P64" i="50"/>
  <c r="K64" i="50"/>
  <c r="L64" i="50"/>
  <c r="A2" i="51"/>
  <c r="H25" i="51"/>
  <c r="D25" i="51"/>
  <c r="P25" i="51"/>
  <c r="H24" i="51"/>
  <c r="D24" i="51"/>
  <c r="P24" i="51"/>
  <c r="H23" i="51"/>
  <c r="D23" i="51"/>
  <c r="P23" i="51"/>
  <c r="H22" i="51"/>
  <c r="D22" i="51"/>
  <c r="P22" i="51"/>
  <c r="H21" i="51"/>
  <c r="D21" i="51"/>
  <c r="P21" i="51"/>
  <c r="H20" i="51"/>
  <c r="D20" i="51"/>
  <c r="P20" i="51"/>
  <c r="H19" i="51"/>
  <c r="D19" i="51"/>
  <c r="P19" i="51"/>
  <c r="H16" i="51"/>
  <c r="D16" i="51"/>
  <c r="P16" i="51"/>
  <c r="H15" i="51"/>
  <c r="D15" i="51"/>
  <c r="P15" i="51"/>
  <c r="H14" i="51"/>
  <c r="D14" i="51"/>
  <c r="P14" i="51"/>
  <c r="H13" i="51"/>
  <c r="D13" i="51"/>
  <c r="P13" i="51"/>
  <c r="H12" i="51"/>
  <c r="D12" i="51"/>
  <c r="P12" i="51"/>
  <c r="H11" i="51"/>
  <c r="D11" i="51"/>
  <c r="P11" i="51"/>
  <c r="H10" i="51"/>
  <c r="D10" i="51"/>
  <c r="P10" i="51"/>
  <c r="H9" i="51"/>
  <c r="D9" i="51"/>
  <c r="P9" i="51"/>
  <c r="H8" i="51"/>
  <c r="D8" i="51"/>
  <c r="P8" i="51"/>
  <c r="H38" i="51"/>
  <c r="D38" i="51"/>
  <c r="P38" i="51"/>
  <c r="H39" i="51"/>
  <c r="D39" i="51"/>
  <c r="P39" i="51"/>
  <c r="H40" i="51"/>
  <c r="D40" i="51"/>
  <c r="P40" i="51"/>
  <c r="H41" i="51"/>
  <c r="D41" i="51"/>
  <c r="P41" i="51"/>
  <c r="H42" i="51"/>
  <c r="D42" i="51"/>
  <c r="P42" i="51"/>
  <c r="H43" i="51"/>
  <c r="D43" i="51"/>
  <c r="P43" i="51"/>
  <c r="H44" i="51"/>
  <c r="D44" i="51"/>
  <c r="P44" i="51"/>
  <c r="H45" i="51"/>
  <c r="D45" i="51"/>
  <c r="P45" i="51"/>
  <c r="H46" i="51"/>
  <c r="D46" i="51"/>
  <c r="P46" i="51"/>
  <c r="H47" i="51"/>
  <c r="D47" i="51"/>
  <c r="P47" i="51"/>
  <c r="H48" i="51"/>
  <c r="D48" i="51"/>
  <c r="P48" i="51"/>
  <c r="H49" i="51"/>
  <c r="D49" i="51"/>
  <c r="P49" i="51"/>
  <c r="H50" i="51"/>
  <c r="D50" i="51"/>
  <c r="P50" i="51"/>
  <c r="H51" i="51"/>
  <c r="D51" i="51"/>
  <c r="P51" i="51"/>
  <c r="H52" i="51"/>
  <c r="D52" i="51"/>
  <c r="P52" i="51"/>
  <c r="P37" i="51"/>
  <c r="H91" i="51"/>
  <c r="D91" i="51"/>
  <c r="P91" i="51"/>
  <c r="H90" i="51"/>
  <c r="D90" i="51"/>
  <c r="P90" i="51"/>
  <c r="H89" i="51"/>
  <c r="D89" i="51"/>
  <c r="P89" i="51"/>
  <c r="H86" i="51"/>
  <c r="D86" i="51"/>
  <c r="P86" i="51"/>
  <c r="H85" i="51"/>
  <c r="D85" i="51"/>
  <c r="P85" i="51"/>
  <c r="H84" i="51"/>
  <c r="D84" i="51"/>
  <c r="P84" i="51"/>
  <c r="H83" i="51"/>
  <c r="D83" i="51"/>
  <c r="P83" i="51"/>
  <c r="H82" i="51"/>
  <c r="D82" i="51"/>
  <c r="P82" i="51"/>
  <c r="H81" i="51"/>
  <c r="D81" i="51"/>
  <c r="P81" i="51"/>
  <c r="H80" i="51"/>
  <c r="D80" i="51"/>
  <c r="P80" i="51"/>
  <c r="H79" i="51"/>
  <c r="D79" i="51"/>
  <c r="P79" i="51"/>
  <c r="H65" i="51"/>
  <c r="D65" i="51"/>
  <c r="P65" i="51"/>
  <c r="H66" i="51"/>
  <c r="D66" i="51"/>
  <c r="P66" i="51"/>
  <c r="H67" i="51"/>
  <c r="D67" i="51"/>
  <c r="P67" i="51"/>
  <c r="H68" i="51"/>
  <c r="D68" i="51"/>
  <c r="P68" i="51"/>
  <c r="H69" i="51"/>
  <c r="D69" i="51"/>
  <c r="P69" i="51"/>
  <c r="H70" i="51"/>
  <c r="D70" i="51"/>
  <c r="P70" i="51"/>
  <c r="H71" i="51"/>
  <c r="D71" i="51"/>
  <c r="P71" i="51"/>
  <c r="H72" i="51"/>
  <c r="D72" i="51"/>
  <c r="P72" i="51"/>
  <c r="H73" i="51"/>
  <c r="D73" i="51"/>
  <c r="P73" i="51"/>
  <c r="H74" i="51"/>
  <c r="D74" i="51"/>
  <c r="P74" i="51"/>
  <c r="H75" i="51"/>
  <c r="D75" i="51"/>
  <c r="P75" i="51"/>
  <c r="H76" i="51"/>
  <c r="D76" i="51"/>
  <c r="P76" i="51"/>
  <c r="H64" i="51"/>
  <c r="D64" i="51"/>
  <c r="P64" i="51"/>
  <c r="H91" i="50"/>
  <c r="H90" i="50"/>
  <c r="H89" i="50"/>
  <c r="H86" i="50"/>
  <c r="H85" i="50"/>
  <c r="H84" i="50"/>
  <c r="H83" i="50"/>
  <c r="H82" i="50"/>
  <c r="H81" i="50"/>
  <c r="H80" i="50"/>
  <c r="H79" i="50"/>
  <c r="H65" i="50"/>
  <c r="H66" i="50"/>
  <c r="H67" i="50"/>
  <c r="H68" i="50"/>
  <c r="H69" i="50"/>
  <c r="H70" i="50"/>
  <c r="H71" i="50"/>
  <c r="H72" i="50"/>
  <c r="H73" i="50"/>
  <c r="H74" i="50"/>
  <c r="H75" i="50"/>
  <c r="H76" i="50"/>
  <c r="H38" i="50"/>
  <c r="H39" i="50"/>
  <c r="H40" i="50"/>
  <c r="H41" i="50"/>
  <c r="H42" i="50"/>
  <c r="H43" i="50"/>
  <c r="H44" i="50"/>
  <c r="H45" i="50"/>
  <c r="H46" i="50"/>
  <c r="H47" i="50"/>
  <c r="H48" i="50"/>
  <c r="H49" i="50"/>
  <c r="H50" i="50"/>
  <c r="H51" i="50"/>
  <c r="H52" i="50"/>
  <c r="H53" i="50"/>
  <c r="H37" i="50"/>
  <c r="H25" i="50"/>
  <c r="H24" i="50"/>
  <c r="H23" i="50"/>
  <c r="H22" i="50"/>
  <c r="H21" i="50"/>
  <c r="H20" i="50"/>
  <c r="H19" i="50"/>
  <c r="H11" i="50"/>
  <c r="H12" i="50"/>
  <c r="H13" i="50"/>
  <c r="H14" i="50"/>
  <c r="H15" i="50"/>
  <c r="H16" i="50"/>
  <c r="H9" i="50"/>
  <c r="H10" i="50"/>
  <c r="H8" i="50"/>
  <c r="Q91" i="51"/>
  <c r="K91" i="51"/>
  <c r="L91" i="51"/>
  <c r="Q90" i="51"/>
  <c r="K90" i="51"/>
  <c r="L90" i="51"/>
  <c r="Q89" i="51"/>
  <c r="K89" i="51"/>
  <c r="L89" i="51"/>
  <c r="Q86" i="51"/>
  <c r="K86" i="51"/>
  <c r="L86" i="51"/>
  <c r="Q85" i="51"/>
  <c r="K85" i="51"/>
  <c r="L85" i="51"/>
  <c r="Q84" i="51"/>
  <c r="K84" i="51"/>
  <c r="L84" i="51"/>
  <c r="Q83" i="51"/>
  <c r="K83" i="51"/>
  <c r="L83" i="51"/>
  <c r="Q82" i="51"/>
  <c r="K82" i="51"/>
  <c r="L82" i="51"/>
  <c r="Q81" i="51"/>
  <c r="K81" i="51"/>
  <c r="L81" i="51"/>
  <c r="Q80" i="51"/>
  <c r="K80" i="51"/>
  <c r="L80" i="51"/>
  <c r="Q79" i="51"/>
  <c r="K79" i="51"/>
  <c r="L79" i="51"/>
  <c r="Q76" i="51"/>
  <c r="K76" i="51"/>
  <c r="L76" i="51"/>
  <c r="Q75" i="51"/>
  <c r="K75" i="51"/>
  <c r="L75" i="51"/>
  <c r="Q74" i="51"/>
  <c r="K74" i="51"/>
  <c r="L74" i="51"/>
  <c r="Q73" i="51"/>
  <c r="K73" i="51"/>
  <c r="L73" i="51"/>
  <c r="Q72" i="51"/>
  <c r="K72" i="51"/>
  <c r="L72" i="51"/>
  <c r="Q71" i="51"/>
  <c r="K71" i="51"/>
  <c r="L71" i="51"/>
  <c r="Q70" i="51"/>
  <c r="K70" i="51"/>
  <c r="L70" i="51"/>
  <c r="Q69" i="51"/>
  <c r="K69" i="51"/>
  <c r="L69" i="51"/>
  <c r="Q68" i="51"/>
  <c r="K68" i="51"/>
  <c r="L68" i="51"/>
  <c r="Q67" i="51"/>
  <c r="K67" i="51"/>
  <c r="L67" i="51"/>
  <c r="Q66" i="51"/>
  <c r="K66" i="51"/>
  <c r="L66" i="51"/>
  <c r="Q65" i="51"/>
  <c r="K65" i="51"/>
  <c r="L65" i="51"/>
  <c r="Q64" i="51"/>
  <c r="K64" i="51"/>
  <c r="L64" i="51"/>
  <c r="A58" i="51"/>
  <c r="A57" i="51"/>
  <c r="Q52" i="51"/>
  <c r="K52" i="51"/>
  <c r="L52" i="51"/>
  <c r="Q51" i="51"/>
  <c r="K51" i="51"/>
  <c r="L51" i="51"/>
  <c r="Q50" i="51"/>
  <c r="K50" i="51"/>
  <c r="L50" i="51"/>
  <c r="Q49" i="51"/>
  <c r="K49" i="51"/>
  <c r="L49" i="51"/>
  <c r="Q48" i="51"/>
  <c r="K48" i="51"/>
  <c r="L48" i="51"/>
  <c r="Q47" i="51"/>
  <c r="K47" i="51"/>
  <c r="L47" i="51"/>
  <c r="Q46" i="51"/>
  <c r="K46" i="51"/>
  <c r="L46" i="51"/>
  <c r="Q45" i="51"/>
  <c r="K45" i="51"/>
  <c r="L45" i="51"/>
  <c r="Q44" i="51"/>
  <c r="K44" i="51"/>
  <c r="L44" i="51"/>
  <c r="Q43" i="51"/>
  <c r="K43" i="51"/>
  <c r="L43" i="51"/>
  <c r="Q42" i="51"/>
  <c r="K42" i="51"/>
  <c r="L42" i="51"/>
  <c r="Q41" i="51"/>
  <c r="K41" i="51"/>
  <c r="L41" i="51"/>
  <c r="Q40" i="51"/>
  <c r="K40" i="51"/>
  <c r="L40" i="51"/>
  <c r="Q39" i="51"/>
  <c r="K39" i="51"/>
  <c r="L39" i="51"/>
  <c r="Q38" i="51"/>
  <c r="K38" i="51"/>
  <c r="L38" i="51"/>
  <c r="Q37" i="51"/>
  <c r="K37" i="51"/>
  <c r="L37" i="51"/>
  <c r="A32" i="51"/>
  <c r="A31" i="51"/>
  <c r="Q25" i="51"/>
  <c r="L25" i="51"/>
  <c r="N25" i="51"/>
  <c r="Q24" i="51"/>
  <c r="L24" i="51"/>
  <c r="N24" i="51"/>
  <c r="Q23" i="51"/>
  <c r="L23" i="51"/>
  <c r="N23" i="51"/>
  <c r="Q22" i="51"/>
  <c r="L22" i="51"/>
  <c r="N22" i="51"/>
  <c r="Q21" i="51"/>
  <c r="L21" i="51"/>
  <c r="N21" i="51"/>
  <c r="Q20" i="51"/>
  <c r="L20" i="51"/>
  <c r="N20" i="51"/>
  <c r="Q19" i="51"/>
  <c r="L19" i="51"/>
  <c r="N19" i="51"/>
  <c r="Q16" i="51"/>
  <c r="L16" i="51"/>
  <c r="N16" i="51"/>
  <c r="Q15" i="51"/>
  <c r="L15" i="51"/>
  <c r="N15" i="51"/>
  <c r="Q14" i="51"/>
  <c r="Q13" i="51"/>
  <c r="L13" i="51"/>
  <c r="N13" i="51"/>
  <c r="Q12" i="51"/>
  <c r="L12" i="51"/>
  <c r="N12" i="51"/>
  <c r="Q11" i="51"/>
  <c r="L11" i="51"/>
  <c r="N11" i="51"/>
  <c r="Q10" i="51"/>
  <c r="L10" i="51"/>
  <c r="N10" i="51"/>
  <c r="Q9" i="51"/>
  <c r="L9" i="51"/>
  <c r="N9" i="51"/>
  <c r="Q8" i="51"/>
  <c r="L8" i="51"/>
  <c r="N8" i="51"/>
  <c r="D91" i="50"/>
  <c r="P91" i="50"/>
  <c r="D90" i="50"/>
  <c r="P90" i="50"/>
  <c r="D89" i="50"/>
  <c r="P89" i="50"/>
  <c r="D86" i="50"/>
  <c r="P86" i="50"/>
  <c r="I85" i="50"/>
  <c r="D85" i="50"/>
  <c r="P85" i="50"/>
  <c r="D84" i="50"/>
  <c r="P84" i="50"/>
  <c r="D83" i="50"/>
  <c r="P83" i="50"/>
  <c r="I82" i="50"/>
  <c r="D82" i="50"/>
  <c r="P82" i="50"/>
  <c r="D81" i="50"/>
  <c r="P81" i="50"/>
  <c r="D80" i="50"/>
  <c r="P80" i="50"/>
  <c r="I79" i="50"/>
  <c r="D79" i="50"/>
  <c r="P79" i="50"/>
  <c r="D65" i="50"/>
  <c r="P65" i="50"/>
  <c r="D66" i="50"/>
  <c r="P66" i="50"/>
  <c r="D67" i="50"/>
  <c r="P67" i="50"/>
  <c r="D68" i="50"/>
  <c r="P68" i="50"/>
  <c r="D69" i="50"/>
  <c r="P69" i="50"/>
  <c r="D70" i="50"/>
  <c r="P70" i="50"/>
  <c r="D71" i="50"/>
  <c r="P71" i="50"/>
  <c r="D72" i="50"/>
  <c r="P72" i="50"/>
  <c r="D73" i="50"/>
  <c r="P73" i="50"/>
  <c r="D74" i="50"/>
  <c r="P74" i="50"/>
  <c r="D75" i="50"/>
  <c r="P75" i="50"/>
  <c r="D76" i="50"/>
  <c r="P76" i="50"/>
  <c r="Q91" i="50"/>
  <c r="K91" i="50"/>
  <c r="L91" i="50"/>
  <c r="Q90" i="50"/>
  <c r="K90" i="50"/>
  <c r="L90" i="50"/>
  <c r="Q89" i="50"/>
  <c r="K89" i="50"/>
  <c r="L89" i="50"/>
  <c r="Q86" i="50"/>
  <c r="K86" i="50"/>
  <c r="L86" i="50"/>
  <c r="Q85" i="50"/>
  <c r="K85" i="50"/>
  <c r="L85" i="50"/>
  <c r="Q84" i="50"/>
  <c r="K84" i="50"/>
  <c r="L84" i="50"/>
  <c r="Q83" i="50"/>
  <c r="K83" i="50"/>
  <c r="L83" i="50"/>
  <c r="Q82" i="50"/>
  <c r="K82" i="50"/>
  <c r="L82" i="50"/>
  <c r="Q81" i="50"/>
  <c r="K81" i="50"/>
  <c r="L81" i="50"/>
  <c r="Q80" i="50"/>
  <c r="K80" i="50"/>
  <c r="L80" i="50"/>
  <c r="Q79" i="50"/>
  <c r="K79" i="50"/>
  <c r="L79" i="50"/>
  <c r="Q76" i="50"/>
  <c r="K76" i="50"/>
  <c r="L76" i="50"/>
  <c r="Q75" i="50"/>
  <c r="K75" i="50"/>
  <c r="L75" i="50"/>
  <c r="Q74" i="50"/>
  <c r="K74" i="50"/>
  <c r="L74" i="50"/>
  <c r="Q73" i="50"/>
  <c r="K73" i="50"/>
  <c r="L73" i="50"/>
  <c r="Q72" i="50"/>
  <c r="K72" i="50"/>
  <c r="L72" i="50"/>
  <c r="Q71" i="50"/>
  <c r="K71" i="50"/>
  <c r="L71" i="50"/>
  <c r="Q70" i="50"/>
  <c r="K70" i="50"/>
  <c r="L70" i="50"/>
  <c r="Q69" i="50"/>
  <c r="K69" i="50"/>
  <c r="L69" i="50"/>
  <c r="Q68" i="50"/>
  <c r="K68" i="50"/>
  <c r="L68" i="50"/>
  <c r="Q67" i="50"/>
  <c r="K67" i="50"/>
  <c r="L67" i="50"/>
  <c r="Q66" i="50"/>
  <c r="K66" i="50"/>
  <c r="L66" i="50"/>
  <c r="Q65" i="50"/>
  <c r="K65" i="50"/>
  <c r="L65" i="50"/>
  <c r="Q64" i="50"/>
  <c r="D38" i="50"/>
  <c r="P38" i="50"/>
  <c r="K38" i="50"/>
  <c r="L38" i="50"/>
  <c r="D39" i="50"/>
  <c r="P39" i="50"/>
  <c r="K39" i="50"/>
  <c r="L39" i="50"/>
  <c r="D40" i="50"/>
  <c r="P40" i="50"/>
  <c r="K40" i="50"/>
  <c r="L40" i="50"/>
  <c r="D41" i="50"/>
  <c r="P41" i="50"/>
  <c r="K41" i="50"/>
  <c r="L41" i="50"/>
  <c r="D42" i="50"/>
  <c r="P42" i="50"/>
  <c r="K42" i="50"/>
  <c r="L42" i="50"/>
  <c r="D43" i="50"/>
  <c r="P43" i="50"/>
  <c r="K43" i="50"/>
  <c r="L43" i="50"/>
  <c r="D44" i="50"/>
  <c r="P44" i="50"/>
  <c r="K44" i="50"/>
  <c r="L44" i="50"/>
  <c r="D45" i="50"/>
  <c r="P45" i="50"/>
  <c r="K45" i="50"/>
  <c r="L45" i="50"/>
  <c r="D46" i="50"/>
  <c r="P46" i="50"/>
  <c r="K46" i="50"/>
  <c r="L46" i="50"/>
  <c r="D47" i="50"/>
  <c r="P47" i="50"/>
  <c r="K47" i="50"/>
  <c r="L47" i="50"/>
  <c r="D48" i="50"/>
  <c r="P48" i="50"/>
  <c r="K48" i="50"/>
  <c r="L48" i="50"/>
  <c r="D49" i="50"/>
  <c r="P49" i="50"/>
  <c r="K49" i="50"/>
  <c r="L49" i="50"/>
  <c r="D50" i="50"/>
  <c r="P50" i="50"/>
  <c r="K50" i="50"/>
  <c r="L50" i="50"/>
  <c r="D51" i="50"/>
  <c r="P51" i="50"/>
  <c r="K51" i="50"/>
  <c r="L51" i="50"/>
  <c r="D52" i="50"/>
  <c r="P52" i="50"/>
  <c r="K52" i="50"/>
  <c r="L52" i="50"/>
  <c r="D37" i="50"/>
  <c r="P37" i="50"/>
  <c r="K37" i="50"/>
  <c r="Q40" i="50"/>
  <c r="Q41" i="50"/>
  <c r="Q42" i="50"/>
  <c r="Q43" i="50"/>
  <c r="Q44" i="50"/>
  <c r="Q45" i="50"/>
  <c r="Q46" i="50"/>
  <c r="Q47" i="50"/>
  <c r="Q48" i="50"/>
  <c r="Q49" i="50"/>
  <c r="Q50" i="50"/>
  <c r="Q51" i="50"/>
  <c r="Q52" i="50"/>
  <c r="Q39" i="50"/>
  <c r="Q38" i="50"/>
  <c r="Q37" i="50"/>
  <c r="A58" i="50"/>
  <c r="A57" i="50"/>
  <c r="A31" i="50"/>
  <c r="A32" i="50"/>
  <c r="I25" i="50"/>
  <c r="D25" i="50"/>
  <c r="P25" i="50"/>
  <c r="I24" i="50"/>
  <c r="D24" i="50"/>
  <c r="P24" i="50"/>
  <c r="I23" i="50"/>
  <c r="D23" i="50"/>
  <c r="P23" i="50"/>
  <c r="I22" i="50"/>
  <c r="D22" i="50"/>
  <c r="P22" i="50"/>
  <c r="I21" i="50"/>
  <c r="D21" i="50"/>
  <c r="P21" i="50"/>
  <c r="I20" i="50"/>
  <c r="D20" i="50"/>
  <c r="P20" i="50"/>
  <c r="I19" i="50"/>
  <c r="D19" i="50"/>
  <c r="P19" i="50"/>
  <c r="I9" i="50"/>
  <c r="D9" i="50"/>
  <c r="P9" i="50"/>
  <c r="I10" i="50"/>
  <c r="D10" i="50"/>
  <c r="P10" i="50"/>
  <c r="I11" i="50"/>
  <c r="D11" i="50"/>
  <c r="P11" i="50"/>
  <c r="I12" i="50"/>
  <c r="D12" i="50"/>
  <c r="P12" i="50"/>
  <c r="I13" i="50"/>
  <c r="D13" i="50"/>
  <c r="P13" i="50"/>
  <c r="I14" i="50"/>
  <c r="D14" i="50"/>
  <c r="P14" i="50"/>
  <c r="I15" i="50"/>
  <c r="D15" i="50"/>
  <c r="P15" i="50"/>
  <c r="I16" i="50"/>
  <c r="D16" i="50"/>
  <c r="P16" i="50"/>
  <c r="D8" i="50"/>
  <c r="P8" i="50"/>
  <c r="Q25" i="50"/>
  <c r="Q24" i="50"/>
  <c r="Q20" i="50"/>
  <c r="Q19" i="50"/>
  <c r="Q21" i="50"/>
  <c r="Q23" i="50"/>
  <c r="Q22" i="50"/>
  <c r="Q10" i="50"/>
  <c r="Q11" i="50"/>
  <c r="Q12" i="50"/>
  <c r="Q13" i="50"/>
  <c r="Q14" i="50"/>
  <c r="Q15" i="50"/>
  <c r="Q16" i="50"/>
  <c r="Q8" i="50"/>
  <c r="L22" i="50"/>
  <c r="L23" i="50"/>
  <c r="L21" i="50"/>
  <c r="L19" i="50"/>
  <c r="L20" i="50"/>
  <c r="L24" i="50"/>
  <c r="L25" i="50"/>
  <c r="L16" i="50"/>
  <c r="L15" i="50"/>
  <c r="L9" i="50"/>
  <c r="L10" i="50"/>
  <c r="L11" i="50"/>
  <c r="L12" i="50"/>
  <c r="L13" i="50"/>
  <c r="L8" i="50"/>
  <c r="L37" i="50"/>
  <c r="D53" i="50"/>
  <c r="N8" i="50"/>
  <c r="N15" i="50"/>
  <c r="N9" i="50"/>
  <c r="N10" i="50"/>
  <c r="N11" i="50"/>
  <c r="N12" i="50"/>
  <c r="N16" i="50"/>
  <c r="N13" i="50"/>
  <c r="N20" i="50"/>
  <c r="N19" i="50"/>
  <c r="N21" i="50"/>
  <c r="N25" i="50"/>
  <c r="N24" i="50"/>
  <c r="N23" i="50"/>
  <c r="N22" i="50"/>
  <c r="Q9" i="50"/>
  <c r="D94" i="50"/>
</calcChain>
</file>

<file path=xl/sharedStrings.xml><?xml version="1.0" encoding="utf-8"?>
<sst xmlns="http://schemas.openxmlformats.org/spreadsheetml/2006/main" count="1048" uniqueCount="322">
  <si>
    <t>Description</t>
  </si>
  <si>
    <t>New Boats</t>
  </si>
  <si>
    <t>Used Boats</t>
  </si>
  <si>
    <t>Serial Number</t>
  </si>
  <si>
    <t>Used Trailers</t>
  </si>
  <si>
    <t>1995 Shorelander</t>
  </si>
  <si>
    <t>Total Trailer Inventory</t>
  </si>
  <si>
    <t>New Trailers</t>
  </si>
  <si>
    <t>1983 Carver 28 Rivera</t>
  </si>
  <si>
    <t>2002 Vanguard</t>
  </si>
  <si>
    <t>Blue</t>
  </si>
  <si>
    <t>Red</t>
  </si>
  <si>
    <t>Black</t>
  </si>
  <si>
    <t>Location</t>
  </si>
  <si>
    <t>Length</t>
  </si>
  <si>
    <t>*Includes Trailer</t>
  </si>
  <si>
    <t>1989 Searay 230WE</t>
  </si>
  <si>
    <t>1994 Carver 28 Express</t>
  </si>
  <si>
    <t>1994 Rinker 265</t>
  </si>
  <si>
    <t>1990 Baja 420ES</t>
  </si>
  <si>
    <t>Yellow</t>
  </si>
  <si>
    <t>2007 Formula 292FT</t>
  </si>
  <si>
    <t>1997 Baja 20 Outlaw</t>
  </si>
  <si>
    <t>1998 Fromula 31PC</t>
  </si>
  <si>
    <t>Lime</t>
  </si>
  <si>
    <t>1988 Cruisers 3170 Espirit</t>
  </si>
  <si>
    <t>1995 Carver 250 Express</t>
  </si>
  <si>
    <t>2006 Searay 240SD</t>
  </si>
  <si>
    <t>2007 Baja 26 Outlaw</t>
  </si>
  <si>
    <t>001205</t>
  </si>
  <si>
    <t>001214</t>
  </si>
  <si>
    <t>001131</t>
  </si>
  <si>
    <t>001167</t>
  </si>
  <si>
    <t>001166</t>
  </si>
  <si>
    <t>000994</t>
  </si>
  <si>
    <t>001165</t>
  </si>
  <si>
    <t>001057</t>
  </si>
  <si>
    <t>000980</t>
  </si>
  <si>
    <t>001085</t>
  </si>
  <si>
    <t>001175</t>
  </si>
  <si>
    <t>001137</t>
  </si>
  <si>
    <t>001063</t>
  </si>
  <si>
    <t>000761</t>
  </si>
  <si>
    <t>001203</t>
  </si>
  <si>
    <t>001071</t>
  </si>
  <si>
    <t>001164</t>
  </si>
  <si>
    <t>001098</t>
  </si>
  <si>
    <t>001132</t>
  </si>
  <si>
    <t>001207</t>
  </si>
  <si>
    <t>001197</t>
  </si>
  <si>
    <t>001176</t>
  </si>
  <si>
    <t>001223</t>
  </si>
  <si>
    <t>001139</t>
  </si>
  <si>
    <t>001193</t>
  </si>
  <si>
    <t>001244</t>
  </si>
  <si>
    <t>1999 Formula 31PC</t>
  </si>
  <si>
    <t>001239</t>
  </si>
  <si>
    <t>001240</t>
  </si>
  <si>
    <t>001250</t>
  </si>
  <si>
    <t>Color/Description</t>
  </si>
  <si>
    <t>001245</t>
  </si>
  <si>
    <t>1996 Baja 38 Special</t>
  </si>
  <si>
    <t>1983 Sea Ray 21</t>
  </si>
  <si>
    <t>001257</t>
  </si>
  <si>
    <t>001258</t>
  </si>
  <si>
    <t>2006 Formula 330SS</t>
  </si>
  <si>
    <t>2006 Smokercraft Vectra 1580</t>
  </si>
  <si>
    <t>Trailers</t>
  </si>
  <si>
    <t>Location 1</t>
  </si>
  <si>
    <t>Location 2</t>
  </si>
  <si>
    <t>Brand 1</t>
  </si>
  <si>
    <t>Brand 2</t>
  </si>
  <si>
    <t>ABC Marine</t>
  </si>
  <si>
    <t xml:space="preserve">Smith Trade </t>
  </si>
  <si>
    <t>31-SS</t>
  </si>
  <si>
    <t>31-BR</t>
  </si>
  <si>
    <t>31-CC</t>
  </si>
  <si>
    <t>33-SS</t>
  </si>
  <si>
    <t>37-SS</t>
  </si>
  <si>
    <t>40-CR</t>
  </si>
  <si>
    <t>26-BR</t>
  </si>
  <si>
    <t>35-CR</t>
  </si>
  <si>
    <t>24-BR</t>
  </si>
  <si>
    <t>Tan</t>
  </si>
  <si>
    <t>ABCD6957H708</t>
  </si>
  <si>
    <t>ABCD6676D708</t>
  </si>
  <si>
    <t>ABCD6802F708</t>
  </si>
  <si>
    <t>ABCD7202K808</t>
  </si>
  <si>
    <t>ABCD6806F708</t>
  </si>
  <si>
    <t>ABCD6785F708</t>
  </si>
  <si>
    <t>ABCD7214L808</t>
  </si>
  <si>
    <t>ABCD5933G607</t>
  </si>
  <si>
    <t>ABCD5888F607</t>
  </si>
  <si>
    <t>DEF24033K708</t>
  </si>
  <si>
    <t>DEF67009G708</t>
  </si>
  <si>
    <t>DEF47084A707</t>
  </si>
  <si>
    <t>DEF48003F607</t>
  </si>
  <si>
    <t>DEF48057B707</t>
  </si>
  <si>
    <t>DEF68051E707</t>
  </si>
  <si>
    <t>DEF66038A707</t>
  </si>
  <si>
    <t>Purple</t>
  </si>
  <si>
    <t>22-BR</t>
  </si>
  <si>
    <t>23-CC</t>
  </si>
  <si>
    <t>23-BR</t>
  </si>
  <si>
    <t>27-CR</t>
  </si>
  <si>
    <t>Stock #</t>
  </si>
  <si>
    <t>Use Conditional Formatting</t>
  </si>
  <si>
    <t>180-240 Days</t>
  </si>
  <si>
    <t>241-365 Days</t>
  </si>
  <si>
    <t>366+ Days</t>
  </si>
  <si>
    <t>0-180 Days</t>
  </si>
  <si>
    <t>For this colomn (Format / Conditional Formatting on the Toolbar)</t>
  </si>
  <si>
    <t>&lt; Use "=today()" for the date formula</t>
  </si>
  <si>
    <t>Plug in MSRP or use a Formula</t>
  </si>
  <si>
    <t>Inventory Value</t>
  </si>
  <si>
    <t>This group sorted oldest first</t>
  </si>
  <si>
    <t>FL 4587 AU</t>
  </si>
  <si>
    <t>FL 9873 GH</t>
  </si>
  <si>
    <t>Jones Trade</t>
  </si>
  <si>
    <t>DEF67009G709</t>
  </si>
  <si>
    <t>DEF24033K709</t>
  </si>
  <si>
    <t>DEF67009G710</t>
  </si>
  <si>
    <t>DEF24033K710</t>
  </si>
  <si>
    <t>DEF67009G711</t>
  </si>
  <si>
    <t>DEF24033K711</t>
  </si>
  <si>
    <t>DEF67009G712</t>
  </si>
  <si>
    <t>DEF24033K712</t>
  </si>
  <si>
    <t>DEF67009G713</t>
  </si>
  <si>
    <t>DEF24033K713</t>
  </si>
  <si>
    <t>DEF67009G714</t>
  </si>
  <si>
    <t>195-SS</t>
  </si>
  <si>
    <t>180-BR</t>
  </si>
  <si>
    <t>20-BR</t>
  </si>
  <si>
    <t>195-CC</t>
  </si>
  <si>
    <t>21-FS</t>
  </si>
  <si>
    <t>24-CR</t>
  </si>
  <si>
    <t>Trailer Brand 1</t>
  </si>
  <si>
    <t>D-29</t>
  </si>
  <si>
    <t>D-40</t>
  </si>
  <si>
    <t>D-41</t>
  </si>
  <si>
    <t>D-42</t>
  </si>
  <si>
    <t>D-43</t>
  </si>
  <si>
    <t>D-44</t>
  </si>
  <si>
    <t>D-45</t>
  </si>
  <si>
    <t>D-46</t>
  </si>
  <si>
    <t>D-47</t>
  </si>
  <si>
    <t>D-48</t>
  </si>
  <si>
    <t>D-49</t>
  </si>
  <si>
    <t>D-50</t>
  </si>
  <si>
    <t>D-51</t>
  </si>
  <si>
    <t>Trailer Brand 2</t>
  </si>
  <si>
    <t>T-19</t>
  </si>
  <si>
    <t>T-21</t>
  </si>
  <si>
    <t>T-22</t>
  </si>
  <si>
    <t>T-23</t>
  </si>
  <si>
    <t>T-24</t>
  </si>
  <si>
    <t>T-25</t>
  </si>
  <si>
    <t>T-26</t>
  </si>
  <si>
    <t>T-27</t>
  </si>
  <si>
    <t>1999 VIP</t>
  </si>
  <si>
    <t>Actual Cash Value</t>
  </si>
  <si>
    <t>19-SS</t>
  </si>
  <si>
    <t>22-V</t>
  </si>
  <si>
    <t>22-SS</t>
  </si>
  <si>
    <t>23-SS</t>
  </si>
  <si>
    <t>23-FS</t>
  </si>
  <si>
    <t>24-SS</t>
  </si>
  <si>
    <t>35-CC</t>
  </si>
  <si>
    <t>Model</t>
  </si>
  <si>
    <t>HIN</t>
  </si>
  <si>
    <t>Purchase Date</t>
  </si>
  <si>
    <t>Invoice Total</t>
  </si>
  <si>
    <t>Trailer Cost</t>
  </si>
  <si>
    <t>MSRP or Selling Price</t>
  </si>
  <si>
    <t>% Discount off MSRP</t>
  </si>
  <si>
    <t>A Free Resource of the Marine Retailers Association of the Americas.</t>
  </si>
  <si>
    <t>Inventory Spreadsheet</t>
  </si>
  <si>
    <t>Enter the Hull ID Number as listed on the boat and the invoice.</t>
  </si>
  <si>
    <t>COLOR/DESCRIPTION</t>
  </si>
  <si>
    <t>LOCATION</t>
  </si>
  <si>
    <t>List where this boat is located, whether it's at a specific location, in a storage facility, in the showroom, on the lot. The more specific you are in all areas of this document, the more effectively you'll be able to manage your inventory.</t>
  </si>
  <si>
    <t>TOTAL INVENTORY VALUE</t>
  </si>
  <si>
    <t>We have set a predetermined formula in this column for you. It adds up the value of the invoice price, the cost of prepping the boat, and the invoice on the trailer. This is the VALUE of the inventory to your business -- the money you have invested in it. It is NOT the price you should sell it for.</t>
  </si>
  <si>
    <t>LENGTH</t>
  </si>
  <si>
    <t>STOCK NUMBER</t>
  </si>
  <si>
    <t>ACTUAL CASH VALUE (ACV)</t>
  </si>
  <si>
    <t>Enter the trailer's serial number.</t>
  </si>
  <si>
    <t>Enter the value of the trailer in your inventory.</t>
  </si>
  <si>
    <t>***NOTE***</t>
  </si>
  <si>
    <t>www.parkerbusinessplanning.com</t>
  </si>
  <si>
    <t xml:space="preserve">Select area to be sorted then Use Data / Sort </t>
  </si>
  <si>
    <t>feature on Toolbar</t>
  </si>
  <si>
    <t>For this column (Conditional Formatting on the Toolbar)</t>
  </si>
  <si>
    <t>BRAND/YEAR/MODEL</t>
  </si>
  <si>
    <t>Optional</t>
  </si>
  <si>
    <t>Recommend 3-7%</t>
  </si>
  <si>
    <t>if you choose to use it.</t>
  </si>
  <si>
    <t>No Bonus</t>
  </si>
  <si>
    <t>+$1.00/day in Inventory</t>
  </si>
  <si>
    <t>+$.75/day in Inventory</t>
  </si>
  <si>
    <t>+$1.25/day in Inventory</t>
  </si>
  <si>
    <t>Recommended Bonus Commission</t>
  </si>
  <si>
    <t>+Lower Minimum Market Price %</t>
  </si>
  <si>
    <t>Cost (Market Price) includes "Bump" amount listed</t>
  </si>
  <si>
    <t>HULL IDENTIFICATION NUMBER (HIN)</t>
  </si>
  <si>
    <t>Enter the Stock Number of the boat here if you use them.</t>
  </si>
  <si>
    <t>If you include a trailer in the price of the boat, enter the inventory value of the trailer (w/freight &amp; Prep) in this column.</t>
  </si>
  <si>
    <t>MSRP or RETAIL PRICE</t>
  </si>
  <si>
    <t>MINIMUM MARKET PRICE %</t>
  </si>
  <si>
    <t>"COST" OR MINIMUM MARKET PRICE</t>
  </si>
  <si>
    <t>Entering this level of detail will allow you identify the boat on your lot easier and should help you identify color trends when you review sales and pricing, etc. In the Used Boat section, don't be afraid to also list that the boat came in on a trade and list the person that traded it in or if it was purchased outright where it came from.</t>
  </si>
  <si>
    <t>Price Per Ft</t>
  </si>
  <si>
    <t>Color Code Legend:</t>
  </si>
  <si>
    <t>1.</t>
  </si>
  <si>
    <t>2.</t>
  </si>
  <si>
    <t>3.</t>
  </si>
  <si>
    <t>4.</t>
  </si>
  <si>
    <t>5.</t>
  </si>
  <si>
    <t>6.</t>
  </si>
  <si>
    <t>7.</t>
  </si>
  <si>
    <t>8.</t>
  </si>
  <si>
    <t>9.</t>
  </si>
  <si>
    <t>10.</t>
  </si>
  <si>
    <t>11.</t>
  </si>
  <si>
    <t>12.</t>
  </si>
  <si>
    <t>13.</t>
  </si>
  <si>
    <t>14.</t>
  </si>
  <si>
    <t>15.</t>
  </si>
  <si>
    <t>16.</t>
  </si>
  <si>
    <t>17.</t>
  </si>
  <si>
    <t>18.</t>
  </si>
  <si>
    <t>19.</t>
  </si>
  <si>
    <t>20.</t>
  </si>
  <si>
    <t>21.</t>
  </si>
  <si>
    <t>22.</t>
  </si>
  <si>
    <t>23.</t>
  </si>
  <si>
    <t>PERCENT DISCOUNT OFF MSRP                    for "Dealership Sell Price"</t>
  </si>
  <si>
    <t>PURCHASE DATE</t>
  </si>
  <si>
    <t>INVOICE TOTAL w/FREIGHT</t>
  </si>
  <si>
    <t>3. Color / Description</t>
  </si>
  <si>
    <t>PREP (OR RIG) COST</t>
  </si>
  <si>
    <t>DAYS OLD</t>
  </si>
  <si>
    <t>Dealership SELL PRICE</t>
  </si>
  <si>
    <t>Trailer SERIAL NUMBER</t>
  </si>
  <si>
    <t>TRAILER INVOICE TOTAL</t>
  </si>
  <si>
    <t>** NOTE ** Please click on the tab below labeled "Sample Spreadsheet" to see a sample of how this spreadsheet works and then click on the tab labeled "Blank Spreadsheet" to get started with your own inventory management process. The formulas have been entered for you. Finally, the fourth tab, labeled "Details," contains explanations and definitions of the various column headers and advice on how to approach them.</t>
  </si>
  <si>
    <t>Trailer INVENTORY VALUE</t>
  </si>
  <si>
    <t>1. Brand/Year/Model</t>
  </si>
  <si>
    <t>2. Hull Identification Number (HIN)</t>
  </si>
  <si>
    <t>4. Total Inventory Value</t>
  </si>
  <si>
    <t>5.
Location</t>
  </si>
  <si>
    <t>6. Purchase Date</t>
  </si>
  <si>
    <t>7.
Length</t>
  </si>
  <si>
    <t>8. Prep (or Rig) Cost</t>
  </si>
  <si>
    <t>10. Trailer Invoice Total</t>
  </si>
  <si>
    <t>11.  MSRP or Retail Price</t>
  </si>
  <si>
    <t>12. Discount in $ off of MSRP for Dealership Sell Price</t>
  </si>
  <si>
    <t>13. % Discount off MSRP for "Dealership Sell Price"</t>
  </si>
  <si>
    <t>14. Dealership Sell Price</t>
  </si>
  <si>
    <t xml:space="preserve">15. Minimum Market Price % (Gross Margin) </t>
  </si>
  <si>
    <t>16. "Cost" or Minimum Market Price</t>
  </si>
  <si>
    <t>17. Days Old</t>
  </si>
  <si>
    <t>18. Stock #</t>
  </si>
  <si>
    <t>8. Prep Cost</t>
  </si>
  <si>
    <t>20. ACV
Actual Cash Value</t>
  </si>
  <si>
    <t>11. MSRP or
Retail Price</t>
  </si>
  <si>
    <t>17. Days
Old</t>
  </si>
  <si>
    <t>5. Location</t>
  </si>
  <si>
    <t>7. Length</t>
  </si>
  <si>
    <t>15. Minimum Market
Price %</t>
  </si>
  <si>
    <t>4. Total
Inventory Value</t>
  </si>
  <si>
    <t>6. Purchase
Date</t>
  </si>
  <si>
    <t>9. Boat Invoice
Total w/Freight</t>
  </si>
  <si>
    <t>12. Discount in $
off MSRP for "Dealership Sell Price"</t>
  </si>
  <si>
    <t>15. Minimum
Market Price % (Gross Margin)</t>
  </si>
  <si>
    <t>15. Minimum Market Price %</t>
  </si>
  <si>
    <t>***This Inventory Spreadsheet has been provided to the MRAA Rewards Resource Center by MRAA Partner Member Parker Business Planning, Inc.
For more information on how to manage inventory, contact David Parker at Parker Business Planning at 407-843-8808 or david@parkerbusinessplanning.com.</t>
  </si>
  <si>
    <t>First make sure this column formatting is set to list as a date. Then, enter the date that you purchased this boat. This is important because the formula in the "Days Old" column (#17) will tell you how many days each specific boat has been in your inventory.  It is updated each time you open the worksheet.</t>
  </si>
  <si>
    <t xml:space="preserve">We have set a predetermined formula in this column for you. We value the prep cost for every boat at $40 per foot (for new) and $25 per foot for used and $5 per foot for trailers. Your price may vary, in which case all you need to do is change the $ amount in red at the top of the column in each section to your per/ft price. If you charge a flat fee, delete the formula and just enter the flat fee as a dollar amount.  </t>
  </si>
  <si>
    <t>Enter the total invoice price of the boat that you paid, including the freight to get it to your location.</t>
  </si>
  <si>
    <t xml:space="preserve">Simply list the Manufacturers (or your own) Suggested Retail Price.  </t>
  </si>
  <si>
    <t>DISCOUNT IN $ OFF OF MSRP FOR DEALERSHIP SELL PRICE</t>
  </si>
  <si>
    <t>Enter the Percent you wish to discount the product off of "MSRP or Retail Price" for new units.  This percentage will be used to calculate the dollar amount of the discount in Column #12 (% Discount off MSRP for "Dealership Sell Price")</t>
  </si>
  <si>
    <t>We have set a predetermined formula in this column for you. It adds the Discount Off MSRP (a negative number) to MSRP or Selling Price to arrive at the Dealership Sell Price (#14).</t>
  </si>
  <si>
    <t>Minimum Market Price % is essentially the minimum gross margin % you expect to sell this product for. Enter the Minimum Market Price as a percentage. This is important because this column is used to calculate other totals, such as the final "Cost " or Minimum Market Price of the product. We recommend you set it at 25 percent for used boats selling for under $30,000.</t>
  </si>
  <si>
    <t xml:space="preserve">Although it says "Cost" it is really the "Minimum Price" in dollars that management would like to sell the unit for.  This column makes it easy for a sales person to know that price.  This particular example has a "Bump" on top of the Minimum Market dollar amount…in this case it is $2,000.  This means that the number listed is actually $2,000 over the actual minimum price to help the sales person achieve more gross margin $'s.  The sales people know this is what you are doing.  To change this amount, simply plug the new amount into the cell at the top of column P (#16) in each section.   </t>
  </si>
  <si>
    <t>We have set a predetermined formula in this column for you. It takes today's date (cell A:2) and subtracts out the number of days from your Purchase Date. Once you have this sheet up and running, the best tool to help you manage by "days in inventory" is to color-code these based on the key at the right-hand side of the Spreadsheet.  Make sure that the formula "=today()" is plugged into cell A:2 in the spreadsheet.  This will allow these formulas to update the Days in Inventory each time you open the worksheet.  The formulas for this color code are already in this worksheet.</t>
  </si>
  <si>
    <t>19. STATE REGISTRATION #S (or HULL NUMBER)</t>
  </si>
  <si>
    <t xml:space="preserve"> State Numbers or HIN</t>
  </si>
  <si>
    <t>STATE REGISTRATION #S (or HULL NUMBER)</t>
  </si>
  <si>
    <t xml:space="preserve">Enter the Actual Cash Value (ACV) of what you have invested in this boat.  This would be the wholesale amount you could sell it to another dealer for. </t>
  </si>
  <si>
    <t>% Discount to Market Price                               (Negotiating Amount %)</t>
  </si>
  <si>
    <t>21. Asking
or Retail Price of              Used Boat</t>
  </si>
  <si>
    <t>23. % Discount to Market Price (Negotiating Amount %)</t>
  </si>
  <si>
    <t/>
  </si>
  <si>
    <t>Asking or Retail Price of Used Boat</t>
  </si>
  <si>
    <t>This is the starting price of your used boat.  This example does not offer a predetermined discount off of the used boat.  If you want to use this feature, then copy the formulas from the new section above.</t>
  </si>
  <si>
    <t>The amount in $ you have to get to the "Cost" or "Minimum Market Price".  This is predetermined by the percentage in column \#23.</t>
  </si>
  <si>
    <t>When calculating what the Asking or Retail Price will be we first determine how much negotiating room we want.  In this case we want 15%.  So the formula is set to discount the Asking or Retail price by 15% to get to the Cost or Minimum Market Price.  You can change this amount simply by plugging in whatever % discount is right for your business.</t>
  </si>
  <si>
    <t>24.</t>
  </si>
  <si>
    <t>25.</t>
  </si>
  <si>
    <t>24. Trailer Serial Number</t>
  </si>
  <si>
    <t>25. Trailer Inventory Value</t>
  </si>
  <si>
    <t>22. Negotiating Amount in $ off of the Asking or Retail price  to get to "Cost" or "Mininum Market Price".</t>
  </si>
  <si>
    <t>Negotiating Amount in $ off of the Asking or Retail price  to get to "Cost" or "Mininum Market Price".  (For Used Units)</t>
  </si>
  <si>
    <t>Once this spreadsheet has calculated the Days in Inventory for the specific models, the color-coding system automatically changes colors according to the Aging legend provided for you in the upper right-hand corner. This will help you manage your inventory more effectively and specifically will help alert you when inventory is threatening to cost you more money and when curtailments are going to be due.  When an item is over 365 days old discount it and get rid of it...be ruthless!  Please note in this example we have changed the Minimum Margin to 5% for these aged units.</t>
  </si>
  <si>
    <t>Sample Inventory Worksheet with Colored "Days Old" Cells (#17)</t>
  </si>
  <si>
    <t>9. Invoice Total w/Freight</t>
  </si>
  <si>
    <t>"Cost" (Market Price) includes "Bump" amount listed</t>
  </si>
  <si>
    <t>21.  % Discount
to Market Price</t>
  </si>
  <si>
    <t>% Discount to Mkt Pr</t>
  </si>
  <si>
    <t>Minimum Mkt Pr %</t>
  </si>
  <si>
    <t>ABC Marine (Sample)</t>
  </si>
  <si>
    <t>DEFINITIONS AND EXPLANATIONS</t>
  </si>
  <si>
    <t xml:space="preserve">COLUMN HEADER </t>
  </si>
  <si>
    <t>#.</t>
  </si>
  <si>
    <r>
      <t xml:space="preserve">Separate the brands out and list boats by year </t>
    </r>
    <r>
      <rPr>
        <sz val="10"/>
        <rFont val="Arial"/>
      </rPr>
      <t>and</t>
    </r>
    <r>
      <rPr>
        <sz val="10"/>
        <rFont val="Arial"/>
      </rPr>
      <t xml:space="preserve"> model so you can manage inventory down to the brand and model level. If you carry more than two brands, we suggest you copy and insert the existing rows (and formulas) to another section so that all of the formulas are in place for you. Do this BEFORE you start plugging in numbers. For used boats, follow the same process.</t>
    </r>
  </si>
  <si>
    <r>
      <t xml:space="preserve">While the length of the boat may be reflected in the model name/number of some boats, you should enter the length here, as well, as we have built this spreadsheet to calculate Prep (or Rig) Cost based </t>
    </r>
    <r>
      <rPr>
        <sz val="10"/>
        <rFont val="Arial"/>
      </rPr>
      <t xml:space="preserve">on </t>
    </r>
    <r>
      <rPr>
        <sz val="10"/>
        <rFont val="Arial"/>
      </rPr>
      <t xml:space="preserve">a per-foot price </t>
    </r>
    <r>
      <rPr>
        <sz val="10"/>
        <rFont val="Arial"/>
      </rPr>
      <t>multiplied by</t>
    </r>
    <r>
      <rPr>
        <sz val="10"/>
        <rFont val="Arial"/>
      </rPr>
      <t xml:space="preserve"> the length of the boat. You may choose to simplify this document by not charging a Prep Cost based on a per-foot price. In that case, make sure to update the formula in the Prep Cost column with a flat rate amount per boat.</t>
    </r>
  </si>
  <si>
    <t>We have set a predetermined formula in this column for you. It multiplies the MSRP or Retail Price (#11)  by the Percent Discount off MSRP (#13). This formula will give you a negative number that will serve as the amount you subtract from the MSRP or Selling Price to come to your Dealership's Sell Price (#14).  When a customer asks for an additional discount say "Mr. customer, I have already given you $______ off, how much more are you looking for?"</t>
  </si>
  <si>
    <t>Since this is a used boat, the state registration number that is affixed to the boat is the easiest way to quickly identify each one.  Or, enter the Hull ID Number as listed on the boat.</t>
  </si>
  <si>
    <t>This spreadsheet is made available to MRAA Rewards members through MRAA's relationship with MRAA Partner Member Parker Business Planning, Inc. For simple questions on how to use this document, or for further information about his services, please contact David Parker at 407-843-8808 or david@parkerbusinessplanning.com.</t>
  </si>
  <si>
    <t>Your inventory levels can have a significant impact on your financial performance in your dealership, and therefore it's extremely important that you manage your new and used inventory properly. This spreadsheet provides a template with which you can effectively manage your inventory.</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</si>
</sst>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mmmm\ d\,\ yyyy"/>
    <numFmt numFmtId="165" formatCode="0.0%"/>
  </numFmts>
  <fonts count="24" x14ac:knownFonts="1">
    <font>
      <sz val="10"/>
      <name val="Arial"/>
    </font>
    <font>
      <sz val="10"/>
      <name val="Arial"/>
      <family val="2"/>
    </font>
    <font>
      <sz val="11"/>
      <name val="Times New Roman"/>
      <family val="1"/>
    </font>
    <font>
      <b/>
      <sz val="11"/>
      <name val="Times New Roman"/>
      <family val="1"/>
    </font>
    <font>
      <b/>
      <u/>
      <sz val="11"/>
      <name val="Times New Roman"/>
      <family val="1"/>
    </font>
    <font>
      <u/>
      <sz val="10"/>
      <color indexed="12"/>
      <name val="Arial"/>
      <family val="2"/>
    </font>
    <font>
      <sz val="12"/>
      <name val="Times New Roman"/>
      <family val="1"/>
    </font>
    <font>
      <sz val="11"/>
      <color indexed="12"/>
      <name val="Times New Roman"/>
      <family val="1"/>
    </font>
    <font>
      <sz val="11"/>
      <color indexed="39"/>
      <name val="Times New Roman"/>
      <family val="1"/>
    </font>
    <font>
      <sz val="11"/>
      <color indexed="10"/>
      <name val="Times New Roman"/>
      <family val="1"/>
    </font>
    <font>
      <sz val="11"/>
      <color indexed="10"/>
      <name val="Arial"/>
      <family val="2"/>
    </font>
    <font>
      <b/>
      <sz val="16"/>
      <color indexed="12"/>
      <name val="Times New Roman"/>
      <family val="1"/>
    </font>
    <font>
      <b/>
      <i/>
      <sz val="12"/>
      <name val="Cambria"/>
      <family val="1"/>
    </font>
    <font>
      <sz val="12"/>
      <name val="Cambria"/>
      <family val="1"/>
    </font>
    <font>
      <b/>
      <u/>
      <sz val="28"/>
      <name val="Cambria"/>
      <family val="1"/>
    </font>
    <font>
      <b/>
      <sz val="10"/>
      <name val="Arial"/>
      <family val="2"/>
    </font>
    <font>
      <b/>
      <sz val="14"/>
      <name val="Arial"/>
      <family val="2"/>
    </font>
    <font>
      <i/>
      <sz val="12"/>
      <name val="Cambria"/>
      <family val="1"/>
    </font>
    <font>
      <b/>
      <i/>
      <sz val="12"/>
      <name val="Times New Roman"/>
      <family val="1"/>
    </font>
    <font>
      <b/>
      <sz val="28"/>
      <name val="Cambria"/>
      <family val="1"/>
    </font>
    <font>
      <sz val="11"/>
      <color indexed="10"/>
      <name val="Times New Roman"/>
      <family val="1"/>
    </font>
    <font>
      <sz val="10"/>
      <name val="Arial"/>
      <family val="2"/>
    </font>
    <font>
      <b/>
      <sz val="10"/>
      <color rgb="FFFF0000"/>
      <name val="Arial"/>
      <family val="2"/>
    </font>
    <font>
      <sz val="11"/>
      <color rgb="FFFF0000"/>
      <name val="Times New Roman"/>
      <family val="1"/>
    </font>
  </fonts>
  <fills count="11">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13"/>
        <bgColor indexed="64"/>
      </patternFill>
    </fill>
    <fill>
      <patternFill patternType="solid">
        <fgColor indexed="10"/>
        <bgColor indexed="64"/>
      </patternFill>
    </fill>
    <fill>
      <patternFill patternType="solid">
        <fgColor indexed="9"/>
        <bgColor indexed="64"/>
      </patternFill>
    </fill>
    <fill>
      <patternFill patternType="solid">
        <fgColor indexed="51"/>
        <bgColor indexed="64"/>
      </patternFill>
    </fill>
    <fill>
      <patternFill patternType="solid">
        <fgColor indexed="43"/>
        <bgColor indexed="64"/>
      </patternFill>
    </fill>
    <fill>
      <patternFill patternType="solid">
        <fgColor rgb="FFCCFF99"/>
        <bgColor indexed="64"/>
      </patternFill>
    </fill>
    <fill>
      <patternFill patternType="solid">
        <fgColor rgb="FFFFFF99"/>
        <bgColor indexed="64"/>
      </patternFill>
    </fill>
  </fills>
  <borders count="16">
    <border>
      <left/>
      <right/>
      <top/>
      <bottom/>
      <diagonal/>
    </border>
    <border>
      <left style="thin">
        <color auto="1"/>
      </left>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thin">
        <color auto="1"/>
      </bottom>
      <diagonal/>
    </border>
    <border>
      <left/>
      <right/>
      <top style="thin">
        <color auto="1"/>
      </top>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diagonal/>
    </border>
    <border>
      <left/>
      <right style="medium">
        <color indexed="10"/>
      </right>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s>
  <cellStyleXfs count="3">
    <xf numFmtId="0" fontId="0" fillId="0" borderId="0"/>
    <xf numFmtId="43" fontId="1" fillId="0" borderId="0" applyFont="0" applyFill="0" applyBorder="0" applyAlignment="0" applyProtection="0"/>
    <xf numFmtId="0" fontId="5" fillId="0" borderId="0" applyNumberFormat="0" applyFill="0" applyBorder="0" applyAlignment="0" applyProtection="0">
      <alignment vertical="top"/>
      <protection locked="0"/>
    </xf>
  </cellStyleXfs>
  <cellXfs count="176">
    <xf numFmtId="0" fontId="0" fillId="0" borderId="0" xfId="0"/>
    <xf numFmtId="0" fontId="2" fillId="0" borderId="0" xfId="0" applyFont="1"/>
    <xf numFmtId="43" fontId="2" fillId="0" borderId="0" xfId="0" applyNumberFormat="1" applyFont="1"/>
    <xf numFmtId="43" fontId="2" fillId="0" borderId="0" xfId="0" applyNumberFormat="1" applyFont="1" applyFill="1" applyBorder="1" applyAlignment="1">
      <alignment horizontal="center"/>
    </xf>
    <xf numFmtId="0" fontId="2" fillId="0" borderId="0" xfId="0" applyFont="1" applyFill="1"/>
    <xf numFmtId="0" fontId="2" fillId="0" borderId="0" xfId="0" applyFont="1" applyAlignment="1">
      <alignment horizontal="left"/>
    </xf>
    <xf numFmtId="0" fontId="4" fillId="0" borderId="0" xfId="0" applyFont="1" applyAlignment="1">
      <alignment horizontal="left"/>
    </xf>
    <xf numFmtId="0" fontId="2" fillId="0" borderId="0" xfId="0" applyFont="1" applyFill="1" applyAlignment="1">
      <alignment horizontal="left"/>
    </xf>
    <xf numFmtId="43" fontId="2" fillId="0" borderId="0" xfId="0" applyNumberFormat="1" applyFont="1" applyFill="1"/>
    <xf numFmtId="0" fontId="3" fillId="0" borderId="0" xfId="0" applyFont="1" applyFill="1" applyAlignment="1"/>
    <xf numFmtId="14" fontId="2" fillId="0" borderId="0" xfId="0" applyNumberFormat="1" applyFont="1" applyFill="1"/>
    <xf numFmtId="14" fontId="2" fillId="0" borderId="0" xfId="0" applyNumberFormat="1" applyFont="1"/>
    <xf numFmtId="0" fontId="2" fillId="2" borderId="1" xfId="0" applyFont="1" applyFill="1" applyBorder="1" applyAlignment="1">
      <alignment horizontal="center"/>
    </xf>
    <xf numFmtId="0" fontId="3" fillId="0" borderId="0" xfId="0" applyFont="1" applyFill="1" applyAlignment="1">
      <alignment horizontal="center"/>
    </xf>
    <xf numFmtId="44" fontId="2" fillId="0" borderId="0" xfId="0" applyNumberFormat="1" applyFont="1" applyFill="1" applyBorder="1"/>
    <xf numFmtId="37" fontId="2" fillId="0" borderId="0" xfId="0" applyNumberFormat="1" applyFont="1"/>
    <xf numFmtId="0" fontId="6" fillId="0" borderId="0" xfId="0" applyFont="1"/>
    <xf numFmtId="43" fontId="2" fillId="0" borderId="2" xfId="0" applyNumberFormat="1" applyFont="1" applyFill="1" applyBorder="1"/>
    <xf numFmtId="14" fontId="2" fillId="0" borderId="0" xfId="0" applyNumberFormat="1" applyFont="1" applyBorder="1"/>
    <xf numFmtId="0" fontId="3" fillId="0" borderId="0" xfId="0" applyFont="1"/>
    <xf numFmtId="0" fontId="4" fillId="0" borderId="0" xfId="0" applyFont="1" applyFill="1" applyAlignment="1">
      <alignment horizontal="left"/>
    </xf>
    <xf numFmtId="43" fontId="7" fillId="0" borderId="0" xfId="0" applyNumberFormat="1" applyFont="1" applyFill="1"/>
    <xf numFmtId="43" fontId="8" fillId="0" borderId="0" xfId="0" applyNumberFormat="1" applyFont="1" applyFill="1"/>
    <xf numFmtId="0" fontId="4" fillId="0" borderId="0" xfId="0" applyFont="1" applyFill="1" applyAlignment="1"/>
    <xf numFmtId="43" fontId="3" fillId="0" borderId="0" xfId="0" applyNumberFormat="1" applyFont="1" applyFill="1" applyAlignment="1">
      <alignment horizontal="center"/>
    </xf>
    <xf numFmtId="43" fontId="2" fillId="0" borderId="0" xfId="0" applyNumberFormat="1" applyFont="1" applyAlignment="1">
      <alignment horizontal="left"/>
    </xf>
    <xf numFmtId="1" fontId="2" fillId="0" borderId="0" xfId="0" applyNumberFormat="1" applyFont="1" applyAlignment="1">
      <alignment horizontal="center"/>
    </xf>
    <xf numFmtId="43" fontId="2" fillId="0" borderId="0" xfId="0" applyNumberFormat="1" applyFont="1" applyAlignment="1">
      <alignment horizontal="center"/>
    </xf>
    <xf numFmtId="1" fontId="2" fillId="2" borderId="3" xfId="0" applyNumberFormat="1" applyFont="1" applyFill="1" applyBorder="1" applyAlignment="1">
      <alignment horizontal="center"/>
    </xf>
    <xf numFmtId="43" fontId="2" fillId="2" borderId="1" xfId="0" applyNumberFormat="1" applyFont="1" applyFill="1" applyBorder="1" applyAlignment="1">
      <alignment horizontal="center"/>
    </xf>
    <xf numFmtId="0" fontId="2" fillId="0" borderId="0" xfId="0" applyFont="1" applyFill="1" applyBorder="1"/>
    <xf numFmtId="0" fontId="2" fillId="0" borderId="0" xfId="0" applyFont="1" applyFill="1" applyBorder="1" applyAlignment="1">
      <alignment horizontal="center"/>
    </xf>
    <xf numFmtId="43" fontId="3" fillId="0" borderId="0" xfId="0" applyNumberFormat="1" applyFont="1" applyFill="1" applyAlignment="1"/>
    <xf numFmtId="0" fontId="3" fillId="0" borderId="0" xfId="0" applyFont="1" applyAlignment="1"/>
    <xf numFmtId="164" fontId="3" fillId="0" borderId="0" xfId="0" applyNumberFormat="1" applyFont="1" applyAlignment="1"/>
    <xf numFmtId="0" fontId="3" fillId="0" borderId="4" xfId="0" applyFont="1" applyBorder="1" applyAlignment="1"/>
    <xf numFmtId="0" fontId="3" fillId="0" borderId="0" xfId="0" applyFont="1" applyBorder="1" applyAlignment="1"/>
    <xf numFmtId="164" fontId="3" fillId="0" borderId="0" xfId="0" applyNumberFormat="1" applyFont="1" applyBorder="1" applyAlignment="1">
      <alignment horizontal="left"/>
    </xf>
    <xf numFmtId="0" fontId="3" fillId="0" borderId="0" xfId="0" applyFont="1" applyFill="1" applyBorder="1" applyAlignment="1"/>
    <xf numFmtId="40" fontId="2" fillId="0" borderId="0" xfId="0" applyNumberFormat="1" applyFont="1"/>
    <xf numFmtId="0" fontId="3" fillId="0" borderId="0" xfId="0" applyFont="1" applyFill="1" applyAlignment="1">
      <alignment horizontal="left"/>
    </xf>
    <xf numFmtId="1" fontId="3" fillId="0" borderId="0" xfId="0" applyNumberFormat="1" applyFont="1" applyAlignment="1">
      <alignment horizontal="center"/>
    </xf>
    <xf numFmtId="1" fontId="3" fillId="0" borderId="4" xfId="0" applyNumberFormat="1" applyFont="1" applyBorder="1" applyAlignment="1">
      <alignment horizontal="center"/>
    </xf>
    <xf numFmtId="1" fontId="2" fillId="0" borderId="0" xfId="0" applyNumberFormat="1" applyFont="1" applyFill="1" applyAlignment="1">
      <alignment horizontal="center"/>
    </xf>
    <xf numFmtId="1" fontId="3" fillId="0" borderId="0" xfId="0" applyNumberFormat="1" applyFont="1" applyFill="1" applyAlignment="1">
      <alignment horizontal="center"/>
    </xf>
    <xf numFmtId="165" fontId="2" fillId="0" borderId="0" xfId="0" applyNumberFormat="1" applyFont="1" applyBorder="1" applyAlignment="1">
      <alignment horizontal="center"/>
    </xf>
    <xf numFmtId="165" fontId="3" fillId="0" borderId="0" xfId="0" applyNumberFormat="1" applyFont="1" applyAlignment="1">
      <alignment horizontal="center"/>
    </xf>
    <xf numFmtId="165" fontId="3" fillId="0" borderId="4" xfId="0" applyNumberFormat="1" applyFont="1" applyBorder="1" applyAlignment="1">
      <alignment horizontal="center"/>
    </xf>
    <xf numFmtId="165" fontId="9" fillId="0" borderId="0" xfId="0" applyNumberFormat="1" applyFont="1" applyAlignment="1">
      <alignment horizontal="center"/>
    </xf>
    <xf numFmtId="165" fontId="2" fillId="0" borderId="0" xfId="0" applyNumberFormat="1" applyFont="1" applyAlignment="1">
      <alignment horizontal="center"/>
    </xf>
    <xf numFmtId="165" fontId="3" fillId="0" borderId="0" xfId="0" applyNumberFormat="1" applyFont="1" applyFill="1" applyAlignment="1">
      <alignment horizontal="center"/>
    </xf>
    <xf numFmtId="165" fontId="2" fillId="0" borderId="0" xfId="0" applyNumberFormat="1" applyFont="1" applyFill="1" applyAlignment="1">
      <alignment horizontal="center"/>
    </xf>
    <xf numFmtId="0" fontId="3" fillId="0" borderId="0" xfId="0" applyFont="1" applyAlignment="1">
      <alignment horizontal="center"/>
    </xf>
    <xf numFmtId="164" fontId="3" fillId="0" borderId="0" xfId="0" applyNumberFormat="1" applyFont="1" applyAlignment="1">
      <alignment horizontal="center"/>
    </xf>
    <xf numFmtId="0" fontId="2" fillId="0" borderId="0" xfId="0" applyFont="1" applyAlignment="1">
      <alignment horizontal="center"/>
    </xf>
    <xf numFmtId="0" fontId="3" fillId="0" borderId="4" xfId="0" applyFont="1" applyBorder="1" applyAlignment="1">
      <alignment horizontal="center"/>
    </xf>
    <xf numFmtId="0" fontId="2" fillId="0" borderId="0" xfId="0" quotePrefix="1" applyFont="1" applyAlignment="1">
      <alignment horizontal="center"/>
    </xf>
    <xf numFmtId="0" fontId="6" fillId="0" borderId="0" xfId="0" applyFont="1" applyAlignment="1">
      <alignment horizontal="center"/>
    </xf>
    <xf numFmtId="43" fontId="2" fillId="0" borderId="0" xfId="0" applyNumberFormat="1" applyFont="1" applyFill="1" applyAlignment="1">
      <alignment horizontal="center"/>
    </xf>
    <xf numFmtId="0" fontId="2" fillId="0" borderId="0" xfId="0" quotePrefix="1" applyFont="1" applyFill="1" applyAlignment="1">
      <alignment horizontal="left"/>
    </xf>
    <xf numFmtId="0" fontId="2" fillId="0" borderId="0" xfId="0" quotePrefix="1" applyFont="1" applyAlignment="1">
      <alignment horizontal="left"/>
    </xf>
    <xf numFmtId="0" fontId="9" fillId="0" borderId="0" xfId="0" applyFont="1"/>
    <xf numFmtId="0" fontId="9" fillId="0" borderId="0" xfId="0" quotePrefix="1" applyFont="1" applyAlignment="1">
      <alignment horizontal="left"/>
    </xf>
    <xf numFmtId="0" fontId="2" fillId="3" borderId="0" xfId="0" applyFont="1" applyFill="1"/>
    <xf numFmtId="0" fontId="2" fillId="4" borderId="0" xfId="0" applyFont="1" applyFill="1"/>
    <xf numFmtId="0" fontId="2" fillId="5" borderId="0" xfId="0" applyFont="1" applyFill="1"/>
    <xf numFmtId="164" fontId="10" fillId="0" borderId="0" xfId="0" quotePrefix="1" applyNumberFormat="1" applyFont="1" applyAlignment="1">
      <alignment horizontal="left"/>
    </xf>
    <xf numFmtId="43" fontId="7" fillId="0" borderId="0" xfId="0" applyNumberFormat="1" applyFont="1"/>
    <xf numFmtId="37" fontId="2" fillId="0" borderId="0" xfId="0" applyNumberFormat="1" applyFont="1" applyAlignment="1">
      <alignment horizontal="center"/>
    </xf>
    <xf numFmtId="164" fontId="9" fillId="0" borderId="0" xfId="0" applyNumberFormat="1" applyFont="1" applyAlignment="1">
      <alignment horizontal="left"/>
    </xf>
    <xf numFmtId="3" fontId="9" fillId="0" borderId="4" xfId="0" applyNumberFormat="1" applyFont="1" applyBorder="1" applyAlignment="1">
      <alignment horizontal="center"/>
    </xf>
    <xf numFmtId="43" fontId="2" fillId="0" borderId="0" xfId="0" quotePrefix="1" applyNumberFormat="1" applyFont="1" applyAlignment="1">
      <alignment horizontal="left"/>
    </xf>
    <xf numFmtId="0" fontId="0" fillId="0" borderId="0" xfId="0" applyAlignment="1"/>
    <xf numFmtId="0" fontId="0" fillId="6" borderId="0" xfId="0" applyFill="1"/>
    <xf numFmtId="0" fontId="15" fillId="6" borderId="0" xfId="0" applyFont="1" applyFill="1"/>
    <xf numFmtId="0" fontId="0" fillId="6" borderId="5" xfId="0" applyFill="1" applyBorder="1"/>
    <xf numFmtId="0" fontId="0" fillId="6" borderId="6" xfId="0" applyFill="1" applyBorder="1"/>
    <xf numFmtId="0" fontId="15" fillId="6" borderId="6" xfId="0" applyFont="1" applyFill="1" applyBorder="1"/>
    <xf numFmtId="0" fontId="0" fillId="6" borderId="7" xfId="0" applyFill="1" applyBorder="1"/>
    <xf numFmtId="0" fontId="0" fillId="6" borderId="8" xfId="0" applyFill="1" applyBorder="1"/>
    <xf numFmtId="0" fontId="0" fillId="6" borderId="0" xfId="0" applyFill="1" applyBorder="1"/>
    <xf numFmtId="0" fontId="15" fillId="6" borderId="0" xfId="0" applyFont="1" applyFill="1" applyBorder="1"/>
    <xf numFmtId="0" fontId="0" fillId="6" borderId="9" xfId="0" applyFill="1" applyBorder="1"/>
    <xf numFmtId="0" fontId="12" fillId="6" borderId="0" xfId="0" applyFont="1" applyFill="1" applyBorder="1" applyAlignment="1">
      <alignment vertical="center"/>
    </xf>
    <xf numFmtId="0" fontId="12" fillId="6" borderId="0" xfId="0" applyFont="1" applyFill="1" applyBorder="1" applyAlignment="1">
      <alignment horizontal="center" vertical="center"/>
    </xf>
    <xf numFmtId="0" fontId="13" fillId="6" borderId="0" xfId="0" applyFont="1" applyFill="1" applyBorder="1" applyAlignment="1">
      <alignment vertical="center"/>
    </xf>
    <xf numFmtId="0" fontId="13" fillId="6" borderId="0" xfId="0" applyFont="1" applyFill="1" applyBorder="1" applyAlignment="1">
      <alignment horizontal="center" vertical="center" wrapText="1"/>
    </xf>
    <xf numFmtId="0" fontId="13" fillId="6" borderId="9" xfId="0" applyFont="1" applyFill="1" applyBorder="1" applyAlignment="1">
      <alignment horizontal="center" vertical="center" wrapText="1"/>
    </xf>
    <xf numFmtId="0" fontId="0" fillId="6" borderId="10" xfId="0" applyFill="1" applyBorder="1"/>
    <xf numFmtId="0" fontId="0" fillId="6" borderId="11" xfId="0" applyFill="1" applyBorder="1"/>
    <xf numFmtId="0" fontId="15" fillId="6" borderId="11" xfId="0" applyFont="1" applyFill="1" applyBorder="1"/>
    <xf numFmtId="0" fontId="0" fillId="6" borderId="12" xfId="0" applyFill="1" applyBorder="1"/>
    <xf numFmtId="0" fontId="0" fillId="0" borderId="0" xfId="0" applyAlignment="1">
      <alignment vertical="top"/>
    </xf>
    <xf numFmtId="0" fontId="0" fillId="0" borderId="0" xfId="0" applyAlignment="1">
      <alignment vertical="top" wrapText="1"/>
    </xf>
    <xf numFmtId="0" fontId="16" fillId="0" borderId="0" xfId="0" applyFont="1" applyAlignment="1">
      <alignment vertical="top"/>
    </xf>
    <xf numFmtId="0" fontId="20" fillId="0" borderId="0" xfId="0" applyFont="1"/>
    <xf numFmtId="0" fontId="2" fillId="2" borderId="3" xfId="0" applyFont="1" applyFill="1" applyBorder="1" applyAlignment="1">
      <alignment horizontal="center" wrapText="1"/>
    </xf>
    <xf numFmtId="0" fontId="21" fillId="0" borderId="0" xfId="0" applyFont="1" applyAlignment="1">
      <alignment vertical="top" wrapText="1"/>
    </xf>
    <xf numFmtId="0" fontId="21" fillId="0" borderId="0" xfId="0" applyFont="1" applyAlignment="1">
      <alignment vertical="top"/>
    </xf>
    <xf numFmtId="43" fontId="2" fillId="2" borderId="1" xfId="0" applyNumberFormat="1" applyFont="1" applyFill="1" applyBorder="1" applyAlignment="1">
      <alignment horizontal="center" wrapText="1"/>
    </xf>
    <xf numFmtId="165" fontId="20" fillId="0" borderId="0" xfId="0" applyNumberFormat="1" applyFont="1" applyAlignment="1">
      <alignment horizontal="center"/>
    </xf>
    <xf numFmtId="43" fontId="2" fillId="2" borderId="3" xfId="0" applyNumberFormat="1" applyFont="1" applyFill="1" applyBorder="1" applyAlignment="1">
      <alignment horizontal="center" wrapText="1"/>
    </xf>
    <xf numFmtId="43" fontId="2" fillId="2" borderId="13" xfId="0" applyNumberFormat="1" applyFont="1" applyFill="1" applyBorder="1" applyAlignment="1">
      <alignment horizontal="center" wrapText="1"/>
    </xf>
    <xf numFmtId="43" fontId="9" fillId="0" borderId="0" xfId="1" applyFont="1" applyBorder="1" applyAlignment="1">
      <alignment horizontal="center"/>
    </xf>
    <xf numFmtId="0" fontId="2" fillId="0" borderId="0" xfId="0" quotePrefix="1" applyFont="1"/>
    <xf numFmtId="0" fontId="2" fillId="2" borderId="1" xfId="0" applyFont="1" applyFill="1" applyBorder="1" applyAlignment="1">
      <alignment horizontal="center" wrapText="1"/>
    </xf>
    <xf numFmtId="1" fontId="2" fillId="2" borderId="3" xfId="0" applyNumberFormat="1" applyFont="1" applyFill="1" applyBorder="1" applyAlignment="1">
      <alignment horizontal="center" wrapText="1"/>
    </xf>
    <xf numFmtId="43" fontId="2" fillId="0" borderId="0" xfId="0" applyNumberFormat="1" applyFont="1" applyAlignment="1">
      <alignment wrapText="1"/>
    </xf>
    <xf numFmtId="0" fontId="2" fillId="0" borderId="0" xfId="0" applyFont="1" applyAlignment="1">
      <alignment wrapText="1"/>
    </xf>
    <xf numFmtId="0" fontId="2" fillId="0" borderId="0" xfId="0" applyFont="1" applyFill="1" applyAlignment="1">
      <alignment wrapText="1"/>
    </xf>
    <xf numFmtId="165" fontId="2" fillId="2" borderId="3" xfId="0" quotePrefix="1" applyNumberFormat="1" applyFont="1" applyFill="1" applyBorder="1" applyAlignment="1">
      <alignment horizontal="center" wrapText="1"/>
    </xf>
    <xf numFmtId="43" fontId="2" fillId="0" borderId="14" xfId="0" applyNumberFormat="1" applyFont="1" applyBorder="1"/>
    <xf numFmtId="39" fontId="20" fillId="0" borderId="15" xfId="1" applyNumberFormat="1" applyFont="1" applyBorder="1" applyAlignment="1">
      <alignment horizontal="center"/>
    </xf>
    <xf numFmtId="37" fontId="2" fillId="0" borderId="0" xfId="1" applyNumberFormat="1" applyFont="1" applyFill="1" applyAlignment="1">
      <alignment horizontal="center"/>
    </xf>
    <xf numFmtId="165" fontId="2" fillId="2" borderId="3" xfId="0" applyNumberFormat="1" applyFont="1" applyFill="1" applyBorder="1" applyAlignment="1">
      <alignment horizontal="center" wrapText="1"/>
    </xf>
    <xf numFmtId="0" fontId="2" fillId="7" borderId="0" xfId="0" applyFont="1" applyFill="1"/>
    <xf numFmtId="43" fontId="2" fillId="0" borderId="0" xfId="0" applyNumberFormat="1" applyFont="1" applyAlignment="1">
      <alignment horizontal="center" wrapText="1"/>
    </xf>
    <xf numFmtId="0" fontId="2" fillId="0" borderId="0" xfId="0" applyFont="1" applyAlignment="1">
      <alignment horizontal="center" wrapText="1"/>
    </xf>
    <xf numFmtId="0" fontId="21" fillId="0" borderId="0" xfId="0" applyFont="1" applyFill="1" applyAlignment="1">
      <alignment vertical="top" wrapText="1"/>
    </xf>
    <xf numFmtId="0" fontId="16" fillId="0" borderId="0" xfId="0" applyFont="1" applyAlignment="1">
      <alignment vertical="top" wrapText="1"/>
    </xf>
    <xf numFmtId="0" fontId="1" fillId="0" borderId="0" xfId="0" applyFont="1" applyFill="1" applyAlignment="1">
      <alignment vertical="top" wrapText="1"/>
    </xf>
    <xf numFmtId="3" fontId="9" fillId="0" borderId="0" xfId="0" applyNumberFormat="1" applyFont="1" applyBorder="1" applyAlignment="1">
      <alignment horizontal="center"/>
    </xf>
    <xf numFmtId="0" fontId="1" fillId="0" borderId="0" xfId="0" applyFont="1" applyAlignment="1">
      <alignment vertical="top" wrapText="1"/>
    </xf>
    <xf numFmtId="49" fontId="16" fillId="0" borderId="0" xfId="0" applyNumberFormat="1" applyFont="1" applyAlignment="1">
      <alignment vertical="top"/>
    </xf>
    <xf numFmtId="49" fontId="0" fillId="0" borderId="0" xfId="0" applyNumberFormat="1" applyAlignment="1">
      <alignment vertical="top"/>
    </xf>
    <xf numFmtId="49" fontId="1" fillId="0" borderId="0" xfId="0" applyNumberFormat="1" applyFont="1" applyAlignment="1">
      <alignment vertical="top"/>
    </xf>
    <xf numFmtId="49" fontId="1" fillId="0" borderId="0" xfId="0" applyNumberFormat="1" applyFont="1" applyFill="1" applyAlignment="1">
      <alignment vertical="top"/>
    </xf>
    <xf numFmtId="0" fontId="9" fillId="0" borderId="0" xfId="0" applyFont="1" applyBorder="1" applyAlignment="1"/>
    <xf numFmtId="43" fontId="20" fillId="0" borderId="0" xfId="0" applyNumberFormat="1" applyFont="1"/>
    <xf numFmtId="0" fontId="9" fillId="8" borderId="0" xfId="0" applyFont="1" applyFill="1"/>
    <xf numFmtId="0" fontId="2" fillId="8" borderId="0" xfId="0" applyFont="1" applyFill="1"/>
    <xf numFmtId="0" fontId="20" fillId="8" borderId="0" xfId="0" applyFont="1" applyFill="1"/>
    <xf numFmtId="1" fontId="3" fillId="0" borderId="0" xfId="0" applyNumberFormat="1" applyFont="1" applyBorder="1" applyAlignment="1">
      <alignment horizontal="center"/>
    </xf>
    <xf numFmtId="0" fontId="3" fillId="0" borderId="0" xfId="0" applyFont="1" applyBorder="1" applyAlignment="1">
      <alignment horizontal="center"/>
    </xf>
    <xf numFmtId="0" fontId="2" fillId="0" borderId="4" xfId="0" applyFont="1" applyFill="1" applyBorder="1" applyAlignment="1">
      <alignment horizontal="center"/>
    </xf>
    <xf numFmtId="0" fontId="2" fillId="0" borderId="0" xfId="0" applyNumberFormat="1" applyFont="1"/>
    <xf numFmtId="0" fontId="2" fillId="0" borderId="4" xfId="0" applyFont="1" applyFill="1" applyBorder="1" applyAlignment="1">
      <alignment horizontal="center" wrapText="1"/>
    </xf>
    <xf numFmtId="43" fontId="20" fillId="0" borderId="0" xfId="0" applyNumberFormat="1" applyFont="1" applyFill="1" applyBorder="1"/>
    <xf numFmtId="0" fontId="1" fillId="0" borderId="0" xfId="0" quotePrefix="1" applyFont="1" applyAlignment="1">
      <alignment horizontal="left" vertical="top" wrapText="1"/>
    </xf>
    <xf numFmtId="0" fontId="1" fillId="0" borderId="0" xfId="0" quotePrefix="1" applyFont="1" applyAlignment="1">
      <alignment horizontal="left" vertical="top"/>
    </xf>
    <xf numFmtId="0" fontId="1" fillId="0" borderId="0" xfId="0" quotePrefix="1" applyFont="1" applyFill="1" applyAlignment="1">
      <alignment horizontal="left" vertical="top" wrapText="1"/>
    </xf>
    <xf numFmtId="0" fontId="2" fillId="2" borderId="3" xfId="0" quotePrefix="1" applyFont="1" applyFill="1" applyBorder="1" applyAlignment="1">
      <alignment horizontal="center" wrapText="1"/>
    </xf>
    <xf numFmtId="43" fontId="2" fillId="2" borderId="3" xfId="0" quotePrefix="1" applyNumberFormat="1" applyFont="1" applyFill="1" applyBorder="1" applyAlignment="1">
      <alignment horizontal="center" wrapText="1"/>
    </xf>
    <xf numFmtId="0" fontId="2" fillId="2" borderId="1" xfId="0" quotePrefix="1" applyFont="1" applyFill="1" applyBorder="1" applyAlignment="1">
      <alignment horizontal="center" wrapText="1"/>
    </xf>
    <xf numFmtId="0" fontId="3" fillId="9" borderId="0" xfId="0" applyFont="1" applyFill="1" applyBorder="1" applyAlignment="1"/>
    <xf numFmtId="0" fontId="11" fillId="0" borderId="0" xfId="0" quotePrefix="1" applyFont="1" applyAlignment="1">
      <alignment horizontal="left"/>
    </xf>
    <xf numFmtId="0" fontId="9" fillId="0" borderId="0" xfId="0" quotePrefix="1" applyFont="1" applyBorder="1" applyAlignment="1">
      <alignment horizontal="left"/>
    </xf>
    <xf numFmtId="165" fontId="23" fillId="0" borderId="0" xfId="0" applyNumberFormat="1" applyFont="1" applyAlignment="1">
      <alignment horizontal="center"/>
    </xf>
    <xf numFmtId="0" fontId="21" fillId="0" borderId="0" xfId="0" applyFont="1" applyFill="1" applyAlignment="1">
      <alignment vertical="top"/>
    </xf>
    <xf numFmtId="0" fontId="1" fillId="0" borderId="0" xfId="0" applyFont="1" applyFill="1" applyAlignment="1">
      <alignment vertical="top"/>
    </xf>
    <xf numFmtId="0" fontId="0" fillId="0" borderId="0" xfId="0" applyFill="1" applyAlignment="1">
      <alignment vertical="top" wrapText="1"/>
    </xf>
    <xf numFmtId="0" fontId="3" fillId="0" borderId="0" xfId="0" quotePrefix="1" applyFont="1" applyBorder="1" applyAlignment="1">
      <alignment horizontal="left"/>
    </xf>
    <xf numFmtId="0" fontId="22" fillId="10" borderId="0" xfId="0" quotePrefix="1" applyFont="1" applyFill="1" applyAlignment="1">
      <alignment horizontal="left" vertical="top" wrapText="1"/>
    </xf>
    <xf numFmtId="0" fontId="1" fillId="10" borderId="0" xfId="0" quotePrefix="1" applyFont="1" applyFill="1" applyAlignment="1">
      <alignment horizontal="left" vertical="top" wrapText="1"/>
    </xf>
    <xf numFmtId="0" fontId="16" fillId="10" borderId="0" xfId="0" quotePrefix="1" applyFont="1" applyFill="1" applyAlignment="1">
      <alignment horizontal="left" vertical="top"/>
    </xf>
    <xf numFmtId="0" fontId="16" fillId="10" borderId="0" xfId="0" quotePrefix="1" applyFont="1" applyFill="1" applyAlignment="1">
      <alignment horizontal="left" vertical="top" wrapText="1"/>
    </xf>
    <xf numFmtId="49" fontId="16" fillId="10" borderId="0" xfId="0" quotePrefix="1" applyNumberFormat="1" applyFont="1" applyFill="1" applyAlignment="1">
      <alignment horizontal="left" vertical="top"/>
    </xf>
    <xf numFmtId="0" fontId="0" fillId="0" borderId="0" xfId="0" applyFont="1" applyAlignment="1">
      <alignment vertical="top" wrapText="1"/>
    </xf>
    <xf numFmtId="0" fontId="0" fillId="0" borderId="0" xfId="0" quotePrefix="1" applyFont="1" applyFill="1" applyAlignment="1">
      <alignment horizontal="left" vertical="top" wrapText="1"/>
    </xf>
    <xf numFmtId="0" fontId="5" fillId="6" borderId="0" xfId="2" applyFill="1" applyBorder="1" applyAlignment="1" applyProtection="1">
      <alignment horizontal="center"/>
    </xf>
    <xf numFmtId="0" fontId="19" fillId="6" borderId="8" xfId="0" applyFont="1" applyFill="1" applyBorder="1" applyAlignment="1">
      <alignment horizontal="center"/>
    </xf>
    <xf numFmtId="0" fontId="19" fillId="6" borderId="0" xfId="0" applyFont="1" applyFill="1" applyBorder="1" applyAlignment="1">
      <alignment horizontal="center"/>
    </xf>
    <xf numFmtId="0" fontId="19" fillId="6" borderId="9" xfId="0" applyFont="1" applyFill="1" applyBorder="1" applyAlignment="1">
      <alignment horizontal="center"/>
    </xf>
    <xf numFmtId="0" fontId="12" fillId="6" borderId="8" xfId="0" applyFont="1" applyFill="1" applyBorder="1" applyAlignment="1">
      <alignment horizontal="center" vertical="center"/>
    </xf>
    <xf numFmtId="0" fontId="12" fillId="6" borderId="0" xfId="0" applyFont="1" applyFill="1" applyBorder="1" applyAlignment="1">
      <alignment horizontal="center" vertical="center"/>
    </xf>
    <xf numFmtId="0" fontId="12" fillId="6" borderId="9" xfId="0" applyFont="1" applyFill="1" applyBorder="1" applyAlignment="1">
      <alignment horizontal="center" vertical="center"/>
    </xf>
    <xf numFmtId="0" fontId="14" fillId="6" borderId="8" xfId="0" applyFont="1" applyFill="1" applyBorder="1" applyAlignment="1">
      <alignment horizontal="center" vertical="center"/>
    </xf>
    <xf numFmtId="0" fontId="14" fillId="6" borderId="0" xfId="0" applyFont="1" applyFill="1" applyBorder="1" applyAlignment="1">
      <alignment horizontal="center" vertical="center"/>
    </xf>
    <xf numFmtId="0" fontId="14" fillId="6" borderId="9" xfId="0" applyFont="1" applyFill="1" applyBorder="1" applyAlignment="1">
      <alignment horizontal="center" vertical="center"/>
    </xf>
    <xf numFmtId="0" fontId="13" fillId="6" borderId="0" xfId="0" applyFont="1"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3" fillId="0" borderId="0" xfId="0" applyFont="1" applyFill="1" applyAlignment="1">
      <alignment horizontal="left"/>
    </xf>
    <xf numFmtId="0" fontId="0" fillId="0" borderId="0" xfId="0" applyAlignment="1"/>
    <xf numFmtId="14" fontId="18" fillId="6" borderId="0" xfId="0" quotePrefix="1" applyNumberFormat="1" applyFont="1" applyFill="1" applyBorder="1" applyAlignment="1">
      <alignment horizontal="left" vertical="top" wrapText="1"/>
    </xf>
    <xf numFmtId="14" fontId="18" fillId="6" borderId="0" xfId="0" applyNumberFormat="1" applyFont="1" applyFill="1" applyBorder="1" applyAlignment="1">
      <alignment horizontal="left" vertical="top" wrapText="1"/>
    </xf>
    <xf numFmtId="0" fontId="11" fillId="0" borderId="0" xfId="0" applyFont="1" applyAlignment="1">
      <alignment horizontal="center"/>
    </xf>
  </cellXfs>
  <cellStyles count="3">
    <cellStyle name="Comma" xfId="1" builtinId="3"/>
    <cellStyle name="Hyperlink" xfId="2" builtinId="8"/>
    <cellStyle name="Normal" xfId="0" builtinId="0"/>
  </cellStyles>
  <dxfs count="9">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8"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3</xdr:col>
      <xdr:colOff>209550</xdr:colOff>
      <xdr:row>3</xdr:row>
      <xdr:rowOff>333375</xdr:rowOff>
    </xdr:from>
    <xdr:to>
      <xdr:col>6</xdr:col>
      <xdr:colOff>466725</xdr:colOff>
      <xdr:row>13</xdr:row>
      <xdr:rowOff>133350</xdr:rowOff>
    </xdr:to>
    <xdr:pic>
      <xdr:nvPicPr>
        <xdr:cNvPr id="2049" name="Picture 1" descr="clip_image001"/>
        <xdr:cNvPicPr>
          <a:picLocks noChangeAspect="1" noChangeArrowheads="1"/>
        </xdr:cNvPicPr>
      </xdr:nvPicPr>
      <xdr:blipFill>
        <a:blip xmlns:r="http://schemas.openxmlformats.org/officeDocument/2006/relationships" r:embed="rId1" cstate="print"/>
        <a:srcRect/>
        <a:stretch>
          <a:fillRect/>
        </a:stretch>
      </xdr:blipFill>
      <xdr:spPr bwMode="auto">
        <a:xfrm>
          <a:off x="2066925" y="828675"/>
          <a:ext cx="3067050" cy="1933575"/>
        </a:xfrm>
        <a:prstGeom prst="rect">
          <a:avLst/>
        </a:prstGeom>
        <a:noFill/>
        <a:ln w="9525">
          <a:noFill/>
          <a:miter lim="800000"/>
          <a:headEnd/>
          <a:tailEnd/>
        </a:ln>
      </xdr:spPr>
    </xdr:pic>
    <xdr:clientData/>
  </xdr:twoCellAnchor>
  <xdr:twoCellAnchor editAs="oneCell">
    <xdr:from>
      <xdr:col>4</xdr:col>
      <xdr:colOff>85725</xdr:colOff>
      <xdr:row>28</xdr:row>
      <xdr:rowOff>38100</xdr:rowOff>
    </xdr:from>
    <xdr:to>
      <xdr:col>5</xdr:col>
      <xdr:colOff>666750</xdr:colOff>
      <xdr:row>30</xdr:row>
      <xdr:rowOff>342900</xdr:rowOff>
    </xdr:to>
    <xdr:pic>
      <xdr:nvPicPr>
        <xdr:cNvPr id="2050" name="Picture 1" descr="PBP-Logo.jpg"/>
        <xdr:cNvPicPr>
          <a:picLocks noChangeAspect="1"/>
        </xdr:cNvPicPr>
      </xdr:nvPicPr>
      <xdr:blipFill>
        <a:blip xmlns:r="http://schemas.openxmlformats.org/officeDocument/2006/relationships" r:embed="rId2" cstate="print"/>
        <a:srcRect/>
        <a:stretch>
          <a:fillRect/>
        </a:stretch>
      </xdr:blipFill>
      <xdr:spPr bwMode="auto">
        <a:xfrm>
          <a:off x="2800350" y="9048750"/>
          <a:ext cx="1543050" cy="7048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parkerbusinessplanning.com/" TargetMode="External"/><Relationship Id="rId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4"/>
  <sheetViews>
    <sheetView tabSelected="1" workbookViewId="0">
      <selection activeCell="B2" sqref="B2"/>
    </sheetView>
  </sheetViews>
  <sheetFormatPr baseColWidth="10" defaultColWidth="8.83203125" defaultRowHeight="12" x14ac:dyDescent="0"/>
  <cols>
    <col min="2" max="2" width="6.1640625" customWidth="1"/>
    <col min="3" max="4" width="12.83203125" customWidth="1"/>
    <col min="5" max="5" width="14.5" customWidth="1"/>
    <col min="6" max="6" width="14.83203125" customWidth="1"/>
    <col min="7" max="8" width="12.83203125" customWidth="1"/>
    <col min="9" max="9" width="6.33203125" customWidth="1"/>
  </cols>
  <sheetData>
    <row r="1" spans="2:9" s="73" customFormat="1" ht="13" thickBot="1">
      <c r="D1" s="74"/>
    </row>
    <row r="2" spans="2:9" s="73" customFormat="1">
      <c r="B2" s="75"/>
      <c r="C2" s="76"/>
      <c r="D2" s="77"/>
      <c r="E2" s="76"/>
      <c r="F2" s="76"/>
      <c r="G2" s="76"/>
      <c r="H2" s="76"/>
      <c r="I2" s="78"/>
    </row>
    <row r="3" spans="2:9" s="73" customFormat="1">
      <c r="B3" s="79"/>
      <c r="C3" s="80"/>
      <c r="D3" s="81"/>
      <c r="E3" s="80"/>
      <c r="F3" s="80"/>
      <c r="G3" s="80"/>
      <c r="H3" s="80"/>
      <c r="I3" s="82"/>
    </row>
    <row r="4" spans="2:9" s="73" customFormat="1" ht="32.25" customHeight="1">
      <c r="B4" s="160"/>
      <c r="C4" s="161"/>
      <c r="D4" s="161"/>
      <c r="E4" s="161"/>
      <c r="F4" s="161"/>
      <c r="G4" s="161"/>
      <c r="H4" s="161"/>
      <c r="I4" s="162"/>
    </row>
    <row r="5" spans="2:9" s="73" customFormat="1">
      <c r="B5" s="79"/>
      <c r="C5" s="80"/>
      <c r="D5" s="81"/>
      <c r="E5" s="80"/>
      <c r="F5" s="80"/>
      <c r="G5" s="80"/>
      <c r="H5" s="80"/>
      <c r="I5" s="82"/>
    </row>
    <row r="6" spans="2:9" s="73" customFormat="1" ht="15">
      <c r="B6" s="79"/>
      <c r="C6" s="83"/>
      <c r="D6" s="80"/>
      <c r="E6" s="80"/>
      <c r="F6" s="80"/>
      <c r="G6" s="80"/>
      <c r="H6" s="80"/>
      <c r="I6" s="82"/>
    </row>
    <row r="7" spans="2:9" s="73" customFormat="1" ht="15">
      <c r="B7" s="79"/>
      <c r="C7" s="84"/>
      <c r="D7" s="80"/>
      <c r="E7" s="80"/>
      <c r="F7" s="80"/>
      <c r="G7" s="80"/>
      <c r="H7" s="80"/>
      <c r="I7" s="82"/>
    </row>
    <row r="8" spans="2:9" s="73" customFormat="1">
      <c r="B8" s="79"/>
      <c r="C8" s="80"/>
      <c r="D8" s="80"/>
      <c r="E8" s="80"/>
      <c r="F8" s="80"/>
      <c r="G8" s="80"/>
      <c r="H8" s="80"/>
      <c r="I8" s="82"/>
    </row>
    <row r="9" spans="2:9" s="73" customFormat="1" ht="15">
      <c r="B9" s="79"/>
      <c r="C9" s="85"/>
      <c r="D9" s="80"/>
      <c r="E9" s="80"/>
      <c r="F9" s="80"/>
      <c r="G9" s="80"/>
      <c r="H9" s="80"/>
      <c r="I9" s="82"/>
    </row>
    <row r="10" spans="2:9" s="73" customFormat="1" ht="15">
      <c r="B10" s="79"/>
      <c r="C10" s="85"/>
      <c r="D10" s="80"/>
      <c r="E10" s="80"/>
      <c r="F10" s="80"/>
      <c r="G10" s="80"/>
      <c r="H10" s="80"/>
      <c r="I10" s="82"/>
    </row>
    <row r="11" spans="2:9" s="73" customFormat="1" ht="15">
      <c r="B11" s="79"/>
      <c r="C11" s="85"/>
      <c r="D11" s="80"/>
      <c r="E11" s="80"/>
      <c r="F11" s="80"/>
      <c r="G11" s="80"/>
      <c r="H11" s="80"/>
      <c r="I11" s="82"/>
    </row>
    <row r="12" spans="2:9" s="73" customFormat="1" ht="15">
      <c r="B12" s="79"/>
      <c r="C12" s="85"/>
      <c r="D12" s="80"/>
      <c r="E12" s="80"/>
      <c r="F12" s="80"/>
      <c r="G12" s="80"/>
      <c r="H12" s="80"/>
      <c r="I12" s="82"/>
    </row>
    <row r="13" spans="2:9" s="73" customFormat="1" ht="15">
      <c r="B13" s="79"/>
      <c r="C13" s="85"/>
      <c r="D13" s="80"/>
      <c r="E13" s="80"/>
      <c r="F13" s="80"/>
      <c r="G13" s="80"/>
      <c r="H13" s="80"/>
      <c r="I13" s="82"/>
    </row>
    <row r="14" spans="2:9" s="73" customFormat="1">
      <c r="B14" s="79"/>
      <c r="C14" s="80"/>
      <c r="D14" s="80"/>
      <c r="E14" s="80"/>
      <c r="F14" s="80"/>
      <c r="G14" s="80"/>
      <c r="H14" s="80"/>
      <c r="I14" s="82"/>
    </row>
    <row r="15" spans="2:9" s="73" customFormat="1" ht="15">
      <c r="B15" s="79"/>
      <c r="C15" s="85"/>
      <c r="D15" s="80"/>
      <c r="E15" s="80"/>
      <c r="F15" s="80"/>
      <c r="G15" s="80"/>
      <c r="H15" s="80"/>
      <c r="I15" s="82"/>
    </row>
    <row r="16" spans="2:9" s="73" customFormat="1" ht="12" customHeight="1">
      <c r="B16" s="79"/>
      <c r="C16" s="80"/>
      <c r="D16" s="81"/>
      <c r="E16" s="80"/>
      <c r="F16" s="80"/>
      <c r="G16" s="80"/>
      <c r="H16" s="80"/>
      <c r="I16" s="82"/>
    </row>
    <row r="17" spans="2:9" s="73" customFormat="1" ht="15">
      <c r="B17" s="163" t="s">
        <v>175</v>
      </c>
      <c r="C17" s="164"/>
      <c r="D17" s="164"/>
      <c r="E17" s="164"/>
      <c r="F17" s="164"/>
      <c r="G17" s="164"/>
      <c r="H17" s="164"/>
      <c r="I17" s="165"/>
    </row>
    <row r="18" spans="2:9" s="73" customFormat="1">
      <c r="B18" s="79"/>
      <c r="C18" s="80"/>
      <c r="D18" s="81"/>
      <c r="E18" s="80"/>
      <c r="F18" s="80"/>
      <c r="G18" s="80"/>
      <c r="H18" s="80"/>
      <c r="I18" s="82"/>
    </row>
    <row r="19" spans="2:9" s="73" customFormat="1">
      <c r="B19" s="79"/>
      <c r="C19" s="80"/>
      <c r="D19" s="81"/>
      <c r="E19" s="80"/>
      <c r="F19" s="80"/>
      <c r="G19" s="80"/>
      <c r="H19" s="80"/>
      <c r="I19" s="82"/>
    </row>
    <row r="20" spans="2:9" s="73" customFormat="1" ht="12.75" customHeight="1">
      <c r="B20" s="166" t="s">
        <v>176</v>
      </c>
      <c r="C20" s="167"/>
      <c r="D20" s="167"/>
      <c r="E20" s="167"/>
      <c r="F20" s="167"/>
      <c r="G20" s="167"/>
      <c r="H20" s="167"/>
      <c r="I20" s="168"/>
    </row>
    <row r="21" spans="2:9" s="73" customFormat="1" ht="86" customHeight="1">
      <c r="B21" s="166"/>
      <c r="C21" s="167"/>
      <c r="D21" s="167"/>
      <c r="E21" s="167"/>
      <c r="F21" s="167"/>
      <c r="G21" s="167"/>
      <c r="H21" s="167"/>
      <c r="I21" s="168"/>
    </row>
    <row r="22" spans="2:9" s="73" customFormat="1" ht="111" customHeight="1">
      <c r="B22" s="79"/>
      <c r="C22" s="169" t="s">
        <v>321</v>
      </c>
      <c r="D22" s="169"/>
      <c r="E22" s="169"/>
      <c r="F22" s="169"/>
      <c r="G22" s="169"/>
      <c r="H22" s="169"/>
      <c r="I22" s="82"/>
    </row>
    <row r="23" spans="2:9" s="73" customFormat="1" ht="15">
      <c r="B23" s="79"/>
      <c r="C23" s="85"/>
      <c r="D23" s="80"/>
      <c r="E23" s="80"/>
      <c r="F23" s="80"/>
      <c r="G23" s="80"/>
      <c r="H23" s="80"/>
      <c r="I23" s="82"/>
    </row>
    <row r="24" spans="2:9" s="73" customFormat="1" ht="15">
      <c r="B24" s="79"/>
      <c r="C24" s="85"/>
      <c r="D24" s="80"/>
      <c r="E24" s="80"/>
      <c r="F24" s="80"/>
      <c r="G24" s="80"/>
      <c r="H24" s="85"/>
      <c r="I24" s="82"/>
    </row>
    <row r="25" spans="2:9" s="73" customFormat="1" ht="93" customHeight="1">
      <c r="B25" s="79"/>
      <c r="C25" s="169" t="s">
        <v>245</v>
      </c>
      <c r="D25" s="169"/>
      <c r="E25" s="169"/>
      <c r="F25" s="169"/>
      <c r="G25" s="169"/>
      <c r="H25" s="169"/>
      <c r="I25" s="87"/>
    </row>
    <row r="26" spans="2:9" s="73" customFormat="1" ht="15" customHeight="1">
      <c r="B26" s="79"/>
      <c r="C26" s="86"/>
      <c r="D26" s="86"/>
      <c r="E26" s="86"/>
      <c r="F26" s="86"/>
      <c r="G26" s="86"/>
      <c r="H26" s="86"/>
      <c r="I26" s="87"/>
    </row>
    <row r="27" spans="2:9" s="73" customFormat="1" ht="6" customHeight="1">
      <c r="B27" s="79"/>
      <c r="C27" s="86"/>
      <c r="D27" s="86"/>
      <c r="E27" s="86"/>
      <c r="F27" s="86"/>
      <c r="G27" s="86"/>
      <c r="H27" s="86"/>
      <c r="I27" s="87"/>
    </row>
    <row r="28" spans="2:9" s="73" customFormat="1" ht="66" customHeight="1">
      <c r="B28" s="79"/>
      <c r="C28" s="170" t="s">
        <v>320</v>
      </c>
      <c r="D28" s="169"/>
      <c r="E28" s="169"/>
      <c r="F28" s="169"/>
      <c r="G28" s="169"/>
      <c r="H28" s="169"/>
      <c r="I28" s="87"/>
    </row>
    <row r="29" spans="2:9" s="73" customFormat="1" ht="15.75" customHeight="1">
      <c r="B29" s="79"/>
      <c r="C29" s="80"/>
      <c r="D29" s="81"/>
      <c r="E29" s="80"/>
      <c r="F29" s="80"/>
      <c r="G29" s="80"/>
      <c r="H29" s="80"/>
      <c r="I29" s="82"/>
    </row>
    <row r="30" spans="2:9" s="73" customFormat="1" ht="15.75" customHeight="1">
      <c r="B30" s="79"/>
      <c r="C30" s="80"/>
      <c r="D30" s="81"/>
      <c r="E30" s="80"/>
      <c r="F30" s="80"/>
      <c r="G30" s="80"/>
      <c r="H30" s="80"/>
      <c r="I30" s="82"/>
    </row>
    <row r="31" spans="2:9" s="73" customFormat="1" ht="36" customHeight="1">
      <c r="B31" s="79"/>
      <c r="C31" s="80"/>
      <c r="D31" s="81"/>
      <c r="E31" s="80"/>
      <c r="F31" s="80"/>
      <c r="G31" s="80"/>
      <c r="H31" s="80"/>
      <c r="I31" s="82"/>
    </row>
    <row r="32" spans="2:9" s="73" customFormat="1" ht="14" customHeight="1">
      <c r="B32" s="79"/>
      <c r="C32" s="80"/>
      <c r="D32" s="81"/>
      <c r="E32" s="159" t="s">
        <v>189</v>
      </c>
      <c r="F32" s="159"/>
      <c r="G32" s="80"/>
      <c r="H32" s="80"/>
      <c r="I32" s="82"/>
    </row>
    <row r="33" spans="2:9" s="73" customFormat="1" ht="13" thickBot="1">
      <c r="B33" s="88"/>
      <c r="C33" s="89"/>
      <c r="D33" s="90"/>
      <c r="E33" s="89"/>
      <c r="F33" s="89"/>
      <c r="G33" s="89"/>
      <c r="H33" s="89"/>
      <c r="I33" s="91"/>
    </row>
    <row r="34" spans="2:9" s="73" customFormat="1">
      <c r="D34" s="74"/>
    </row>
  </sheetData>
  <mergeCells count="7">
    <mergeCell ref="E32:F32"/>
    <mergeCell ref="B4:I4"/>
    <mergeCell ref="B17:I17"/>
    <mergeCell ref="B20:I21"/>
    <mergeCell ref="C22:H22"/>
    <mergeCell ref="C25:H25"/>
    <mergeCell ref="C28:H28"/>
  </mergeCells>
  <phoneticPr fontId="0" type="noConversion"/>
  <hyperlinks>
    <hyperlink ref="E32" r:id="rId1"/>
  </hyperlinks>
  <pageMargins left="0.75" right="0.75" top="1" bottom="1" header="0.5" footer="0.5"/>
  <pageSetup orientation="portrait" horizontalDpi="4294967292" verticalDpi="4294967292"/>
  <headerFooter alignWithMargins="0"/>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V102"/>
  <sheetViews>
    <sheetView workbookViewId="0">
      <selection activeCell="L8" sqref="L8"/>
    </sheetView>
  </sheetViews>
  <sheetFormatPr baseColWidth="10" defaultColWidth="11.5" defaultRowHeight="13" x14ac:dyDescent="0"/>
  <cols>
    <col min="1" max="1" width="26.5" style="5" customWidth="1"/>
    <col min="2" max="2" width="20.83203125" style="4" customWidth="1"/>
    <col min="3" max="3" width="11.83203125" style="1" bestFit="1" customWidth="1"/>
    <col min="4" max="4" width="13.83203125" style="8" customWidth="1"/>
    <col min="5" max="5" width="8.5" style="8" customWidth="1"/>
    <col min="6" max="6" width="11.5" style="1" bestFit="1" customWidth="1"/>
    <col min="7" max="7" width="7.6640625" style="26" customWidth="1"/>
    <col min="8" max="8" width="12.83203125" style="2" customWidth="1"/>
    <col min="9" max="9" width="15.1640625" style="2" customWidth="1"/>
    <col min="10" max="10" width="12.5" style="2" customWidth="1"/>
    <col min="11" max="11" width="12.6640625" style="2" customWidth="1"/>
    <col min="12" max="12" width="15.33203125" style="2" customWidth="1"/>
    <col min="13" max="13" width="15.5" style="49" customWidth="1"/>
    <col min="14" max="14" width="13.5" style="2" customWidth="1"/>
    <col min="15" max="15" width="14.5" style="49" customWidth="1"/>
    <col min="16" max="16" width="13.6640625" style="2" customWidth="1"/>
    <col min="17" max="17" width="8.6640625" style="27" customWidth="1"/>
    <col min="18" max="18" width="13.33203125" style="27" bestFit="1" customWidth="1"/>
    <col min="19" max="19" width="3.33203125" style="2" customWidth="1"/>
    <col min="20" max="20" width="17.6640625" style="2" customWidth="1"/>
    <col min="21" max="21" width="34.5" style="1" bestFit="1" customWidth="1"/>
    <col min="22" max="22" width="8" style="1" hidden="1" customWidth="1"/>
    <col min="23" max="23" width="10.5" style="1" customWidth="1"/>
    <col min="24" max="16384" width="11.5" style="1"/>
  </cols>
  <sheetData>
    <row r="1" spans="1:22" ht="18">
      <c r="A1" s="151" t="s">
        <v>312</v>
      </c>
      <c r="B1" s="33"/>
      <c r="C1" s="33"/>
      <c r="D1" s="145" t="s">
        <v>306</v>
      </c>
      <c r="E1" s="33"/>
      <c r="F1" s="33"/>
      <c r="G1" s="41"/>
      <c r="H1" s="33"/>
      <c r="I1" s="33"/>
      <c r="J1" s="33"/>
      <c r="K1" s="33"/>
      <c r="L1" s="33"/>
      <c r="M1" s="46"/>
      <c r="N1" s="33"/>
      <c r="O1" s="46"/>
      <c r="P1" s="33"/>
      <c r="Q1" s="52"/>
      <c r="R1" s="52"/>
      <c r="S1" s="33"/>
      <c r="T1" s="33"/>
      <c r="U1" s="33"/>
      <c r="V1" s="33"/>
    </row>
    <row r="2" spans="1:22">
      <c r="A2" s="37">
        <v>39538</v>
      </c>
      <c r="B2" s="66" t="s">
        <v>112</v>
      </c>
      <c r="C2" s="34"/>
      <c r="D2" s="34"/>
      <c r="E2" s="34"/>
      <c r="F2" s="34"/>
      <c r="G2" s="41"/>
      <c r="H2" s="34"/>
      <c r="I2" s="34"/>
      <c r="J2" s="34"/>
      <c r="K2" s="34"/>
      <c r="L2" s="34"/>
      <c r="M2" s="46"/>
      <c r="N2" s="34"/>
      <c r="O2" s="46"/>
      <c r="P2" s="34"/>
      <c r="Q2" s="69" t="s">
        <v>106</v>
      </c>
      <c r="R2" s="53"/>
      <c r="S2" s="34"/>
      <c r="T2" s="34"/>
      <c r="U2" s="34"/>
      <c r="V2" s="34"/>
    </row>
    <row r="3" spans="1:22">
      <c r="A3" s="144" t="s">
        <v>1</v>
      </c>
      <c r="B3" s="10"/>
      <c r="K3" s="67"/>
      <c r="M3" s="45"/>
      <c r="Q3" s="62" t="s">
        <v>192</v>
      </c>
      <c r="R3" s="54"/>
      <c r="S3" s="30"/>
      <c r="T3" s="1"/>
    </row>
    <row r="4" spans="1:22" ht="52">
      <c r="A4" s="12" t="s">
        <v>247</v>
      </c>
      <c r="B4" s="96" t="s">
        <v>248</v>
      </c>
      <c r="C4" s="96" t="s">
        <v>239</v>
      </c>
      <c r="D4" s="101" t="s">
        <v>249</v>
      </c>
      <c r="E4" s="101" t="s">
        <v>250</v>
      </c>
      <c r="F4" s="96" t="s">
        <v>251</v>
      </c>
      <c r="G4" s="106" t="s">
        <v>252</v>
      </c>
      <c r="H4" s="99" t="s">
        <v>253</v>
      </c>
      <c r="I4" s="142" t="s">
        <v>307</v>
      </c>
      <c r="J4" s="101" t="s">
        <v>254</v>
      </c>
      <c r="K4" s="101" t="s">
        <v>255</v>
      </c>
      <c r="L4" s="101" t="s">
        <v>256</v>
      </c>
      <c r="M4" s="114" t="s">
        <v>257</v>
      </c>
      <c r="N4" s="101" t="s">
        <v>258</v>
      </c>
      <c r="O4" s="114" t="s">
        <v>259</v>
      </c>
      <c r="P4" s="102" t="s">
        <v>260</v>
      </c>
      <c r="Q4" s="96" t="s">
        <v>261</v>
      </c>
      <c r="R4" s="12" t="s">
        <v>262</v>
      </c>
      <c r="S4" s="31"/>
      <c r="T4" s="1"/>
    </row>
    <row r="5" spans="1:22">
      <c r="A5" s="35"/>
      <c r="B5" s="35"/>
      <c r="C5" s="35"/>
      <c r="D5" s="35"/>
      <c r="E5" s="35"/>
      <c r="F5" s="35"/>
      <c r="G5" s="42"/>
      <c r="H5" s="112">
        <v>40</v>
      </c>
      <c r="I5" s="35"/>
      <c r="J5" s="35"/>
      <c r="K5" s="35"/>
      <c r="L5" s="35"/>
      <c r="M5" s="100" t="s">
        <v>194</v>
      </c>
      <c r="N5" s="35"/>
      <c r="P5" s="146" t="s">
        <v>308</v>
      </c>
      <c r="Q5" s="55"/>
      <c r="R5" s="55"/>
      <c r="S5" s="30"/>
      <c r="T5" s="1"/>
    </row>
    <row r="6" spans="1:22">
      <c r="A6" s="7"/>
      <c r="C6" s="4"/>
      <c r="D6" s="21"/>
      <c r="F6" s="4"/>
      <c r="H6" s="111" t="s">
        <v>211</v>
      </c>
      <c r="I6" s="8"/>
      <c r="J6" s="36"/>
      <c r="K6" s="36"/>
      <c r="L6" s="36"/>
      <c r="M6" s="48" t="s">
        <v>195</v>
      </c>
      <c r="P6" s="103">
        <v>2000</v>
      </c>
      <c r="Q6" s="68"/>
      <c r="R6" s="54"/>
      <c r="S6" s="1"/>
      <c r="T6" s="1"/>
    </row>
    <row r="7" spans="1:22">
      <c r="A7" s="20" t="s">
        <v>70</v>
      </c>
      <c r="C7" s="4"/>
      <c r="D7" s="21"/>
      <c r="F7" s="4"/>
      <c r="I7" s="8"/>
      <c r="J7" s="36"/>
      <c r="K7" s="36"/>
      <c r="L7" s="36"/>
      <c r="M7" s="48" t="s">
        <v>196</v>
      </c>
      <c r="Q7" s="68"/>
      <c r="R7" s="54"/>
      <c r="S7" s="1"/>
      <c r="T7" s="115" t="s">
        <v>212</v>
      </c>
      <c r="U7" s="19" t="s">
        <v>201</v>
      </c>
    </row>
    <row r="8" spans="1:22">
      <c r="A8" s="59" t="s">
        <v>82</v>
      </c>
      <c r="B8" s="4" t="s">
        <v>84</v>
      </c>
      <c r="C8" s="4" t="s">
        <v>10</v>
      </c>
      <c r="D8" s="21">
        <f t="shared" ref="D8:D16" si="0">SUM(H8+I8+J8)</f>
        <v>53543.25</v>
      </c>
      <c r="E8" s="113">
        <v>1</v>
      </c>
      <c r="F8" s="10">
        <v>39350</v>
      </c>
      <c r="G8" s="26">
        <v>24</v>
      </c>
      <c r="H8" s="2">
        <f>SUM(G8*$H$5)</f>
        <v>960</v>
      </c>
      <c r="I8" s="8">
        <v>52583.25</v>
      </c>
      <c r="K8" s="8">
        <v>89238.75</v>
      </c>
      <c r="L8" s="39">
        <f>-K8*M8</f>
        <v>-6246.7125000000005</v>
      </c>
      <c r="M8" s="48">
        <v>7.0000000000000007E-2</v>
      </c>
      <c r="N8" s="2">
        <f t="shared" ref="N8:N13" si="1">+K8+L8</f>
        <v>82992.037500000006</v>
      </c>
      <c r="O8" s="48">
        <v>0.2</v>
      </c>
      <c r="P8" s="2">
        <f t="shared" ref="P8:P16" si="2">(+D8/(1-O8))+$P$6</f>
        <v>68929.0625</v>
      </c>
      <c r="Q8" s="68">
        <f t="shared" ref="Q8:Q16" si="3">$A$2-F8</f>
        <v>188</v>
      </c>
      <c r="R8" s="56" t="s">
        <v>29</v>
      </c>
      <c r="S8" s="1"/>
      <c r="T8" s="1" t="s">
        <v>110</v>
      </c>
      <c r="U8" s="1" t="s">
        <v>197</v>
      </c>
    </row>
    <row r="9" spans="1:22">
      <c r="A9" s="1" t="s">
        <v>76</v>
      </c>
      <c r="B9" s="1" t="s">
        <v>85</v>
      </c>
      <c r="C9" s="1" t="s">
        <v>83</v>
      </c>
      <c r="D9" s="21">
        <f t="shared" si="0"/>
        <v>204232.15</v>
      </c>
      <c r="E9" s="113">
        <v>1</v>
      </c>
      <c r="F9" s="11">
        <v>39245</v>
      </c>
      <c r="G9" s="26">
        <v>31</v>
      </c>
      <c r="H9" s="2">
        <f t="shared" ref="H9:H16" si="4">SUM(G9*$H$5)</f>
        <v>1240</v>
      </c>
      <c r="I9" s="8">
        <f>200773+1219.15+1000</f>
        <v>202992.15</v>
      </c>
      <c r="K9" s="2">
        <v>316150</v>
      </c>
      <c r="L9" s="39">
        <f t="shared" ref="L9:L16" si="5">-K9*M9</f>
        <v>-22130.500000000004</v>
      </c>
      <c r="M9" s="48">
        <v>7.0000000000000007E-2</v>
      </c>
      <c r="N9" s="2">
        <f t="shared" si="1"/>
        <v>294019.5</v>
      </c>
      <c r="O9" s="48">
        <v>0.2</v>
      </c>
      <c r="P9" s="2">
        <f t="shared" si="2"/>
        <v>257290.18749999997</v>
      </c>
      <c r="Q9" s="68">
        <f t="shared" si="3"/>
        <v>293</v>
      </c>
      <c r="R9" s="56" t="s">
        <v>31</v>
      </c>
      <c r="S9" s="1"/>
      <c r="T9" s="63" t="s">
        <v>107</v>
      </c>
      <c r="U9" s="60" t="s">
        <v>199</v>
      </c>
    </row>
    <row r="10" spans="1:22">
      <c r="A10" s="1" t="s">
        <v>74</v>
      </c>
      <c r="B10" s="1" t="s">
        <v>86</v>
      </c>
      <c r="C10" s="1" t="s">
        <v>10</v>
      </c>
      <c r="D10" s="21">
        <f t="shared" si="0"/>
        <v>152207</v>
      </c>
      <c r="E10" s="113">
        <v>1</v>
      </c>
      <c r="F10" s="11">
        <v>39281</v>
      </c>
      <c r="G10" s="26">
        <v>31</v>
      </c>
      <c r="H10" s="2">
        <f t="shared" si="4"/>
        <v>1240</v>
      </c>
      <c r="I10" s="8">
        <f>149967+1000</f>
        <v>150967</v>
      </c>
      <c r="K10" s="2">
        <v>239580</v>
      </c>
      <c r="L10" s="39">
        <f t="shared" si="5"/>
        <v>-16770.600000000002</v>
      </c>
      <c r="M10" s="48">
        <v>7.0000000000000007E-2</v>
      </c>
      <c r="N10" s="2">
        <f t="shared" si="1"/>
        <v>222809.4</v>
      </c>
      <c r="O10" s="48">
        <v>0.2</v>
      </c>
      <c r="P10" s="2">
        <f t="shared" si="2"/>
        <v>192258.75</v>
      </c>
      <c r="Q10" s="68">
        <f t="shared" si="3"/>
        <v>257</v>
      </c>
      <c r="R10" s="56" t="s">
        <v>32</v>
      </c>
      <c r="S10" s="1"/>
      <c r="T10" s="64" t="s">
        <v>108</v>
      </c>
      <c r="U10" s="60" t="s">
        <v>198</v>
      </c>
    </row>
    <row r="11" spans="1:22">
      <c r="A11" s="1" t="s">
        <v>75</v>
      </c>
      <c r="B11" s="1" t="s">
        <v>87</v>
      </c>
      <c r="C11" s="1" t="s">
        <v>12</v>
      </c>
      <c r="D11" s="21">
        <f t="shared" si="0"/>
        <v>155082</v>
      </c>
      <c r="E11" s="113">
        <v>2</v>
      </c>
      <c r="F11" s="11">
        <v>39461</v>
      </c>
      <c r="G11" s="26">
        <v>31</v>
      </c>
      <c r="H11" s="2">
        <f t="shared" si="4"/>
        <v>1240</v>
      </c>
      <c r="I11" s="8">
        <f>152842+1000</f>
        <v>153842</v>
      </c>
      <c r="K11" s="2">
        <v>241685</v>
      </c>
      <c r="L11" s="39">
        <f t="shared" si="5"/>
        <v>-16917.95</v>
      </c>
      <c r="M11" s="48">
        <v>7.0000000000000007E-2</v>
      </c>
      <c r="N11" s="2">
        <f t="shared" si="1"/>
        <v>224767.05</v>
      </c>
      <c r="O11" s="48">
        <v>0.2</v>
      </c>
      <c r="P11" s="2">
        <f t="shared" si="2"/>
        <v>195852.5</v>
      </c>
      <c r="Q11" s="68">
        <f t="shared" si="3"/>
        <v>77</v>
      </c>
      <c r="R11" s="56" t="s">
        <v>58</v>
      </c>
      <c r="S11" s="1"/>
      <c r="T11" s="65" t="s">
        <v>109</v>
      </c>
      <c r="U11" s="60" t="s">
        <v>200</v>
      </c>
    </row>
    <row r="12" spans="1:22">
      <c r="A12" s="1" t="s">
        <v>77</v>
      </c>
      <c r="B12" s="1" t="s">
        <v>88</v>
      </c>
      <c r="C12" s="1" t="s">
        <v>12</v>
      </c>
      <c r="D12" s="21">
        <f t="shared" si="0"/>
        <v>173244.5</v>
      </c>
      <c r="E12" s="113">
        <v>1</v>
      </c>
      <c r="F12" s="11">
        <v>39281</v>
      </c>
      <c r="G12" s="26">
        <v>33</v>
      </c>
      <c r="H12" s="2">
        <f t="shared" si="4"/>
        <v>1320</v>
      </c>
      <c r="I12" s="8">
        <f>170924.5+1000</f>
        <v>171924.5</v>
      </c>
      <c r="K12" s="2">
        <v>272625</v>
      </c>
      <c r="L12" s="39">
        <f t="shared" si="5"/>
        <v>-19083.75</v>
      </c>
      <c r="M12" s="48">
        <v>7.0000000000000007E-2</v>
      </c>
      <c r="N12" s="2">
        <f t="shared" si="1"/>
        <v>253541.25</v>
      </c>
      <c r="O12" s="48">
        <v>0.2</v>
      </c>
      <c r="P12" s="2">
        <f t="shared" si="2"/>
        <v>218555.625</v>
      </c>
      <c r="Q12" s="68">
        <f t="shared" si="3"/>
        <v>257</v>
      </c>
      <c r="R12" s="56" t="s">
        <v>33</v>
      </c>
      <c r="S12" s="1"/>
      <c r="T12" s="1"/>
      <c r="U12" s="104" t="s">
        <v>202</v>
      </c>
    </row>
    <row r="13" spans="1:22">
      <c r="A13" s="1" t="s">
        <v>78</v>
      </c>
      <c r="B13" s="1" t="s">
        <v>89</v>
      </c>
      <c r="C13" s="1" t="s">
        <v>11</v>
      </c>
      <c r="D13" s="21">
        <f>SUM(H13+I13+J13)</f>
        <v>296271.84000000003</v>
      </c>
      <c r="E13" s="113">
        <v>2</v>
      </c>
      <c r="F13" s="11">
        <v>39279</v>
      </c>
      <c r="G13" s="26">
        <v>37</v>
      </c>
      <c r="H13" s="2">
        <f t="shared" si="4"/>
        <v>1480</v>
      </c>
      <c r="I13" s="2">
        <f>293791.84+1000</f>
        <v>294791.84000000003</v>
      </c>
      <c r="K13" s="2">
        <v>479610</v>
      </c>
      <c r="L13" s="39">
        <f t="shared" si="5"/>
        <v>-33572.700000000004</v>
      </c>
      <c r="M13" s="48">
        <v>7.0000000000000007E-2</v>
      </c>
      <c r="N13" s="2">
        <f t="shared" si="1"/>
        <v>446037.3</v>
      </c>
      <c r="O13" s="48">
        <v>0.2</v>
      </c>
      <c r="P13" s="2">
        <f t="shared" si="2"/>
        <v>372339.8</v>
      </c>
      <c r="Q13" s="68">
        <f t="shared" si="3"/>
        <v>259</v>
      </c>
      <c r="R13" s="56" t="s">
        <v>35</v>
      </c>
      <c r="S13" s="1"/>
      <c r="T13" s="60"/>
    </row>
    <row r="14" spans="1:22">
      <c r="A14" s="1" t="s">
        <v>79</v>
      </c>
      <c r="B14" s="1" t="s">
        <v>90</v>
      </c>
      <c r="C14" s="1" t="s">
        <v>10</v>
      </c>
      <c r="D14" s="21">
        <f>SUM(H14+I14+J14)</f>
        <v>456487</v>
      </c>
      <c r="E14" s="113">
        <v>1</v>
      </c>
      <c r="F14" s="11">
        <v>39483</v>
      </c>
      <c r="G14" s="26">
        <v>40</v>
      </c>
      <c r="H14" s="2">
        <f t="shared" si="4"/>
        <v>1600</v>
      </c>
      <c r="I14" s="2">
        <f>453887+1000</f>
        <v>454887</v>
      </c>
      <c r="L14" s="39"/>
      <c r="M14" s="48"/>
      <c r="O14" s="48">
        <v>0.17</v>
      </c>
      <c r="P14" s="2">
        <f t="shared" si="2"/>
        <v>551984.3373493976</v>
      </c>
      <c r="Q14" s="68">
        <f t="shared" si="3"/>
        <v>55</v>
      </c>
      <c r="R14" s="56" t="s">
        <v>64</v>
      </c>
      <c r="S14" s="1"/>
      <c r="T14" s="1"/>
    </row>
    <row r="15" spans="1:22">
      <c r="A15" s="7" t="s">
        <v>80</v>
      </c>
      <c r="B15" s="4" t="s">
        <v>91</v>
      </c>
      <c r="C15" s="4" t="s">
        <v>12</v>
      </c>
      <c r="D15" s="21">
        <f>SUM(H15+I15+J15)</f>
        <v>80599</v>
      </c>
      <c r="E15" s="113">
        <v>1</v>
      </c>
      <c r="F15" s="10">
        <v>39364</v>
      </c>
      <c r="G15" s="26">
        <v>26</v>
      </c>
      <c r="H15" s="2">
        <f t="shared" si="4"/>
        <v>1040</v>
      </c>
      <c r="I15" s="8">
        <f>78559+1000</f>
        <v>79559</v>
      </c>
      <c r="K15" s="2">
        <v>124250</v>
      </c>
      <c r="L15" s="39">
        <f t="shared" si="5"/>
        <v>-8697.5</v>
      </c>
      <c r="M15" s="48">
        <v>7.0000000000000007E-2</v>
      </c>
      <c r="N15" s="2">
        <f>+K15+L15</f>
        <v>115552.5</v>
      </c>
      <c r="O15" s="48">
        <v>0.2</v>
      </c>
      <c r="P15" s="2">
        <f t="shared" si="2"/>
        <v>102748.75</v>
      </c>
      <c r="Q15" s="68">
        <f t="shared" si="3"/>
        <v>174</v>
      </c>
      <c r="R15" s="56" t="s">
        <v>30</v>
      </c>
      <c r="S15" s="1"/>
      <c r="T15" s="1"/>
    </row>
    <row r="16" spans="1:22">
      <c r="A16" s="1" t="s">
        <v>81</v>
      </c>
      <c r="B16" s="1" t="s">
        <v>92</v>
      </c>
      <c r="C16" s="1" t="s">
        <v>10</v>
      </c>
      <c r="D16" s="21">
        <f t="shared" si="0"/>
        <v>168993.30000000002</v>
      </c>
      <c r="E16" s="113">
        <v>2</v>
      </c>
      <c r="F16" s="11">
        <v>38934</v>
      </c>
      <c r="G16" s="26">
        <v>35</v>
      </c>
      <c r="H16" s="2">
        <f t="shared" si="4"/>
        <v>1400</v>
      </c>
      <c r="I16" s="2">
        <f>160021+5108.32+1349.98+114+1000</f>
        <v>167593.30000000002</v>
      </c>
      <c r="K16" s="2">
        <v>278824</v>
      </c>
      <c r="L16" s="39">
        <f t="shared" si="5"/>
        <v>-30670.639999999999</v>
      </c>
      <c r="M16" s="48">
        <v>0.11</v>
      </c>
      <c r="N16" s="2">
        <f>+K16+L16</f>
        <v>248153.36</v>
      </c>
      <c r="O16" s="48">
        <v>0.05</v>
      </c>
      <c r="P16" s="2">
        <f t="shared" si="2"/>
        <v>179887.68421052635</v>
      </c>
      <c r="Q16" s="68">
        <f t="shared" si="3"/>
        <v>604</v>
      </c>
      <c r="R16" s="56" t="s">
        <v>34</v>
      </c>
      <c r="S16" s="1"/>
      <c r="T16" s="1"/>
    </row>
    <row r="17" spans="1:21">
      <c r="A17" s="7"/>
      <c r="C17" s="4"/>
      <c r="D17" s="21"/>
      <c r="F17" s="4"/>
      <c r="I17" s="8"/>
      <c r="L17" s="39"/>
      <c r="M17" s="48"/>
      <c r="O17" s="48"/>
      <c r="Q17" s="68"/>
      <c r="R17" s="54"/>
      <c r="S17" s="1"/>
      <c r="T17" s="1"/>
    </row>
    <row r="18" spans="1:21">
      <c r="A18" s="20" t="s">
        <v>71</v>
      </c>
      <c r="C18" s="4"/>
      <c r="D18" s="21"/>
      <c r="F18" s="4"/>
      <c r="I18" s="8"/>
      <c r="L18" s="39"/>
      <c r="M18" s="48"/>
      <c r="O18" s="48"/>
      <c r="Q18" s="68"/>
      <c r="R18" s="54"/>
      <c r="S18" s="1"/>
      <c r="T18" s="1"/>
    </row>
    <row r="19" spans="1:21">
      <c r="A19" s="5" t="s">
        <v>102</v>
      </c>
      <c r="B19" s="1" t="s">
        <v>96</v>
      </c>
      <c r="C19" s="1" t="s">
        <v>10</v>
      </c>
      <c r="D19" s="21">
        <f t="shared" ref="D19:D25" si="6">SUM(H19+I19+J19)</f>
        <v>55046.74</v>
      </c>
      <c r="E19" s="113">
        <v>1</v>
      </c>
      <c r="F19" s="18">
        <v>38897</v>
      </c>
      <c r="G19" s="26">
        <v>23</v>
      </c>
      <c r="H19" s="2">
        <f t="shared" ref="H19:H25" si="7">SUM(G19*$H$5)</f>
        <v>920</v>
      </c>
      <c r="I19" s="2">
        <f>49508.49+1000</f>
        <v>50508.49</v>
      </c>
      <c r="J19" s="2">
        <v>3618.25</v>
      </c>
      <c r="K19" s="2">
        <v>84650</v>
      </c>
      <c r="L19" s="39">
        <f t="shared" ref="L19:L25" si="8">-K19*M19</f>
        <v>-9311.5</v>
      </c>
      <c r="M19" s="48">
        <v>0.11</v>
      </c>
      <c r="N19" s="2">
        <f t="shared" ref="N19:N25" si="9">+K19+L19</f>
        <v>75338.5</v>
      </c>
      <c r="O19" s="48">
        <v>0.05</v>
      </c>
      <c r="P19" s="2">
        <f t="shared" ref="P19:P25" si="10">(+D19/(1-O19))+$P$6</f>
        <v>59943.936842105264</v>
      </c>
      <c r="Q19" s="68">
        <f t="shared" ref="Q19:Q25" si="11">$A$2-F19</f>
        <v>641</v>
      </c>
      <c r="R19" s="56" t="s">
        <v>37</v>
      </c>
      <c r="S19" s="1"/>
      <c r="T19" s="129" t="s">
        <v>115</v>
      </c>
      <c r="U19" s="130"/>
    </row>
    <row r="20" spans="1:21">
      <c r="A20" s="5" t="s">
        <v>101</v>
      </c>
      <c r="B20" s="1" t="s">
        <v>95</v>
      </c>
      <c r="C20" s="1" t="s">
        <v>20</v>
      </c>
      <c r="D20" s="21">
        <f t="shared" si="6"/>
        <v>31511.14</v>
      </c>
      <c r="E20" s="113">
        <v>2</v>
      </c>
      <c r="F20" s="11">
        <v>39135</v>
      </c>
      <c r="G20" s="43">
        <v>20</v>
      </c>
      <c r="H20" s="2">
        <f t="shared" si="7"/>
        <v>800</v>
      </c>
      <c r="I20" s="2">
        <f>26947+1000</f>
        <v>27947</v>
      </c>
      <c r="J20" s="2">
        <v>2764.14</v>
      </c>
      <c r="K20" s="2">
        <v>43481</v>
      </c>
      <c r="L20" s="39">
        <f t="shared" si="8"/>
        <v>-4782.91</v>
      </c>
      <c r="M20" s="48">
        <v>0.11</v>
      </c>
      <c r="N20" s="2">
        <f t="shared" si="9"/>
        <v>38698.089999999997</v>
      </c>
      <c r="O20" s="48">
        <v>0.05</v>
      </c>
      <c r="P20" s="2">
        <f t="shared" si="10"/>
        <v>35169.621052631577</v>
      </c>
      <c r="Q20" s="68">
        <f t="shared" si="11"/>
        <v>403</v>
      </c>
      <c r="R20" s="56" t="s">
        <v>36</v>
      </c>
      <c r="S20" s="1"/>
      <c r="T20" s="129" t="s">
        <v>190</v>
      </c>
      <c r="U20" s="130"/>
    </row>
    <row r="21" spans="1:21">
      <c r="A21" s="5" t="s">
        <v>103</v>
      </c>
      <c r="B21" s="1" t="s">
        <v>97</v>
      </c>
      <c r="C21" s="1" t="s">
        <v>24</v>
      </c>
      <c r="D21" s="21">
        <f t="shared" si="6"/>
        <v>56478.25</v>
      </c>
      <c r="E21" s="113">
        <v>1</v>
      </c>
      <c r="F21" s="18">
        <v>39141</v>
      </c>
      <c r="G21" s="26">
        <v>23</v>
      </c>
      <c r="H21" s="2">
        <f t="shared" si="7"/>
        <v>920</v>
      </c>
      <c r="I21" s="2">
        <f>50940+1000</f>
        <v>51940</v>
      </c>
      <c r="J21" s="2">
        <v>3618.25</v>
      </c>
      <c r="K21" s="2">
        <v>86958</v>
      </c>
      <c r="L21" s="39">
        <f t="shared" si="8"/>
        <v>-9565.3799999999992</v>
      </c>
      <c r="M21" s="48">
        <v>0.11</v>
      </c>
      <c r="N21" s="2">
        <f t="shared" si="9"/>
        <v>77392.62</v>
      </c>
      <c r="O21" s="48">
        <v>0.05</v>
      </c>
      <c r="P21" s="2">
        <f t="shared" si="10"/>
        <v>61450.789473684214</v>
      </c>
      <c r="Q21" s="68">
        <f t="shared" si="11"/>
        <v>397</v>
      </c>
      <c r="R21" s="56" t="s">
        <v>38</v>
      </c>
      <c r="S21" s="1"/>
      <c r="T21" s="131" t="s">
        <v>191</v>
      </c>
      <c r="U21" s="130"/>
    </row>
    <row r="22" spans="1:21">
      <c r="A22" s="5" t="s">
        <v>81</v>
      </c>
      <c r="B22" s="1" t="s">
        <v>99</v>
      </c>
      <c r="C22" s="1" t="s">
        <v>10</v>
      </c>
      <c r="D22" s="21">
        <f t="shared" si="6"/>
        <v>149159.20000000001</v>
      </c>
      <c r="E22" s="113">
        <v>1</v>
      </c>
      <c r="F22" s="11">
        <v>39160</v>
      </c>
      <c r="G22" s="43">
        <v>35</v>
      </c>
      <c r="H22" s="2">
        <f t="shared" si="7"/>
        <v>1400</v>
      </c>
      <c r="I22" s="2">
        <f>139939+1000</f>
        <v>140939</v>
      </c>
      <c r="J22" s="2">
        <v>6820.2</v>
      </c>
      <c r="K22" s="2">
        <v>231000</v>
      </c>
      <c r="L22" s="39">
        <f t="shared" si="8"/>
        <v>-25410</v>
      </c>
      <c r="M22" s="48">
        <v>0.11</v>
      </c>
      <c r="N22" s="2">
        <f t="shared" si="9"/>
        <v>205590</v>
      </c>
      <c r="O22" s="48">
        <v>0.05</v>
      </c>
      <c r="P22" s="2">
        <f t="shared" si="10"/>
        <v>159009.68421052635</v>
      </c>
      <c r="Q22" s="68">
        <f t="shared" si="11"/>
        <v>378</v>
      </c>
      <c r="R22" s="56" t="s">
        <v>41</v>
      </c>
      <c r="S22" s="1"/>
      <c r="T22" s="1"/>
    </row>
    <row r="23" spans="1:21">
      <c r="A23" s="5" t="s">
        <v>104</v>
      </c>
      <c r="B23" s="1" t="s">
        <v>98</v>
      </c>
      <c r="C23" s="1" t="s">
        <v>100</v>
      </c>
      <c r="D23" s="21">
        <f t="shared" si="6"/>
        <v>73022.53</v>
      </c>
      <c r="E23" s="113">
        <v>2</v>
      </c>
      <c r="F23" s="11">
        <v>39254</v>
      </c>
      <c r="G23" s="43">
        <v>27</v>
      </c>
      <c r="H23" s="2">
        <f t="shared" si="7"/>
        <v>1080</v>
      </c>
      <c r="I23" s="2">
        <f>66799.23+1000</f>
        <v>67799.23</v>
      </c>
      <c r="J23" s="2">
        <v>4143.3</v>
      </c>
      <c r="K23" s="2">
        <v>110117</v>
      </c>
      <c r="L23" s="39">
        <f t="shared" si="8"/>
        <v>-7708.1900000000005</v>
      </c>
      <c r="M23" s="48">
        <v>7.0000000000000007E-2</v>
      </c>
      <c r="N23" s="2">
        <f t="shared" si="9"/>
        <v>102408.81</v>
      </c>
      <c r="O23" s="48">
        <v>0.2</v>
      </c>
      <c r="P23" s="2">
        <f t="shared" si="10"/>
        <v>93278.162499999991</v>
      </c>
      <c r="Q23" s="68">
        <f t="shared" si="11"/>
        <v>284</v>
      </c>
      <c r="R23" s="56" t="s">
        <v>40</v>
      </c>
      <c r="S23" s="1"/>
      <c r="T23" s="1"/>
    </row>
    <row r="24" spans="1:21" ht="17.25" customHeight="1">
      <c r="A24" s="5" t="s">
        <v>80</v>
      </c>
      <c r="B24" s="1" t="s">
        <v>94</v>
      </c>
      <c r="C24" s="1" t="s">
        <v>10</v>
      </c>
      <c r="D24" s="21">
        <f t="shared" si="6"/>
        <v>70180.25</v>
      </c>
      <c r="E24" s="113">
        <v>1</v>
      </c>
      <c r="F24" s="18">
        <v>39303</v>
      </c>
      <c r="G24" s="26">
        <v>26</v>
      </c>
      <c r="H24" s="2">
        <f t="shared" si="7"/>
        <v>1040</v>
      </c>
      <c r="I24" s="2">
        <f>64260+1000</f>
        <v>65260</v>
      </c>
      <c r="J24" s="2">
        <v>3880.25</v>
      </c>
      <c r="K24" s="2">
        <v>108848</v>
      </c>
      <c r="L24" s="39">
        <f t="shared" si="8"/>
        <v>-7619.3600000000006</v>
      </c>
      <c r="M24" s="48">
        <v>7.0000000000000007E-2</v>
      </c>
      <c r="N24" s="2">
        <f t="shared" si="9"/>
        <v>101228.64</v>
      </c>
      <c r="O24" s="48">
        <v>0.22</v>
      </c>
      <c r="P24" s="2">
        <f t="shared" si="10"/>
        <v>91974.679487179485</v>
      </c>
      <c r="Q24" s="68">
        <f t="shared" si="11"/>
        <v>235</v>
      </c>
      <c r="R24" s="56" t="s">
        <v>39</v>
      </c>
      <c r="S24" s="1"/>
      <c r="T24" s="1"/>
    </row>
    <row r="25" spans="1:21">
      <c r="A25" s="5" t="s">
        <v>82</v>
      </c>
      <c r="B25" s="1" t="s">
        <v>93</v>
      </c>
      <c r="C25" s="1" t="s">
        <v>10</v>
      </c>
      <c r="D25" s="21">
        <f t="shared" si="6"/>
        <v>56554.28</v>
      </c>
      <c r="E25" s="113">
        <v>1</v>
      </c>
      <c r="F25" s="18">
        <v>39436</v>
      </c>
      <c r="G25" s="26">
        <v>24</v>
      </c>
      <c r="H25" s="2">
        <f t="shared" si="7"/>
        <v>960</v>
      </c>
      <c r="I25" s="2">
        <f>50762+1000</f>
        <v>51762</v>
      </c>
      <c r="J25" s="2">
        <v>3832.28</v>
      </c>
      <c r="K25" s="2">
        <v>86742</v>
      </c>
      <c r="L25" s="39">
        <f t="shared" si="8"/>
        <v>-6071.9400000000005</v>
      </c>
      <c r="M25" s="48">
        <v>7.0000000000000007E-2</v>
      </c>
      <c r="N25" s="2">
        <f t="shared" si="9"/>
        <v>80670.06</v>
      </c>
      <c r="O25" s="48">
        <v>0.22</v>
      </c>
      <c r="P25" s="2">
        <f t="shared" si="10"/>
        <v>74505.487179487172</v>
      </c>
      <c r="Q25" s="68">
        <f t="shared" si="11"/>
        <v>102</v>
      </c>
      <c r="R25" s="56" t="s">
        <v>54</v>
      </c>
      <c r="S25" s="1"/>
      <c r="T25" s="1"/>
    </row>
    <row r="26" spans="1:21">
      <c r="A26" s="7"/>
      <c r="C26" s="4"/>
      <c r="F26" s="4"/>
      <c r="L26" s="39"/>
      <c r="U26" s="2"/>
    </row>
    <row r="27" spans="1:21" ht="15" customHeight="1">
      <c r="A27" s="171" t="s">
        <v>15</v>
      </c>
      <c r="B27" s="172"/>
      <c r="C27" s="4"/>
      <c r="F27" s="4"/>
      <c r="U27" s="2"/>
    </row>
    <row r="28" spans="1:21" ht="15" customHeight="1">
      <c r="A28" s="40"/>
      <c r="B28" s="72"/>
      <c r="C28" s="4"/>
      <c r="F28" s="4"/>
      <c r="U28" s="2"/>
    </row>
    <row r="29" spans="1:21" ht="15" customHeight="1">
      <c r="A29" s="40"/>
      <c r="B29" s="72"/>
      <c r="C29" s="4"/>
      <c r="F29" s="4"/>
      <c r="U29" s="2"/>
    </row>
    <row r="30" spans="1:21" ht="15" customHeight="1">
      <c r="A30" s="40"/>
      <c r="B30" s="72"/>
      <c r="C30" s="4"/>
      <c r="F30" s="4"/>
      <c r="U30" s="2"/>
    </row>
    <row r="31" spans="1:21">
      <c r="A31" s="38" t="str">
        <f>+$A$1</f>
        <v>ABC Marine (Sample)</v>
      </c>
      <c r="B31" s="9"/>
      <c r="C31" s="9"/>
      <c r="D31" s="9"/>
      <c r="E31" s="9"/>
      <c r="F31" s="9"/>
      <c r="G31" s="44"/>
      <c r="H31" s="9"/>
      <c r="I31" s="9"/>
      <c r="J31" s="9"/>
      <c r="K31" s="9"/>
      <c r="L31" s="9"/>
      <c r="M31" s="50"/>
      <c r="N31" s="9"/>
      <c r="O31" s="50"/>
      <c r="P31" s="9"/>
      <c r="Q31" s="13"/>
      <c r="R31" s="13"/>
      <c r="S31" s="9"/>
      <c r="T31" s="9"/>
      <c r="U31" s="9"/>
    </row>
    <row r="32" spans="1:21">
      <c r="A32" s="37">
        <f>+$A$2</f>
        <v>39538</v>
      </c>
      <c r="B32" s="34"/>
      <c r="C32" s="34"/>
      <c r="D32" s="34"/>
      <c r="E32" s="34"/>
      <c r="F32" s="34"/>
      <c r="G32" s="41"/>
      <c r="H32" s="34"/>
      <c r="I32" s="34"/>
      <c r="J32" s="34"/>
      <c r="K32" s="34"/>
      <c r="L32" s="34"/>
      <c r="M32" s="46"/>
      <c r="N32" s="34"/>
      <c r="O32" s="46"/>
      <c r="P32" s="34"/>
      <c r="Q32" s="53"/>
      <c r="R32" s="53"/>
      <c r="S32" s="34"/>
      <c r="T32" s="34"/>
      <c r="U32" s="34"/>
    </row>
    <row r="33" spans="1:20">
      <c r="A33" s="144" t="s">
        <v>2</v>
      </c>
      <c r="B33" s="13"/>
      <c r="C33" s="13"/>
      <c r="D33" s="24"/>
      <c r="E33" s="13"/>
      <c r="F33" s="13"/>
      <c r="S33" s="1"/>
      <c r="T33" s="1"/>
    </row>
    <row r="34" spans="1:20" s="117" customFormat="1" ht="91">
      <c r="A34" s="105" t="s">
        <v>247</v>
      </c>
      <c r="B34" s="141" t="s">
        <v>287</v>
      </c>
      <c r="C34" s="96" t="s">
        <v>239</v>
      </c>
      <c r="D34" s="101" t="s">
        <v>249</v>
      </c>
      <c r="E34" s="101" t="s">
        <v>250</v>
      </c>
      <c r="F34" s="96" t="s">
        <v>251</v>
      </c>
      <c r="G34" s="106" t="s">
        <v>252</v>
      </c>
      <c r="H34" s="99" t="s">
        <v>263</v>
      </c>
      <c r="I34" s="101" t="s">
        <v>264</v>
      </c>
      <c r="J34" s="101"/>
      <c r="K34" s="142" t="s">
        <v>292</v>
      </c>
      <c r="L34" s="142" t="s">
        <v>303</v>
      </c>
      <c r="M34" s="110" t="s">
        <v>293</v>
      </c>
      <c r="N34" s="116"/>
      <c r="O34" s="114" t="s">
        <v>269</v>
      </c>
      <c r="P34" s="102" t="s">
        <v>260</v>
      </c>
      <c r="Q34" s="96" t="s">
        <v>266</v>
      </c>
      <c r="R34" s="105" t="s">
        <v>262</v>
      </c>
    </row>
    <row r="35" spans="1:20">
      <c r="A35" s="35"/>
      <c r="B35" s="35"/>
      <c r="C35" s="35"/>
      <c r="D35" s="35"/>
      <c r="E35" s="35"/>
      <c r="F35" s="35"/>
      <c r="G35" s="42"/>
      <c r="H35" s="112">
        <v>25</v>
      </c>
      <c r="I35" s="35"/>
      <c r="J35" s="35"/>
      <c r="K35" s="35"/>
      <c r="L35" s="35"/>
      <c r="M35" s="47"/>
      <c r="P35" s="146" t="s">
        <v>308</v>
      </c>
      <c r="Q35" s="35"/>
      <c r="R35" s="55"/>
      <c r="S35" s="1"/>
      <c r="T35" s="1"/>
    </row>
    <row r="36" spans="1:20" s="16" customFormat="1" ht="15">
      <c r="A36" s="5"/>
      <c r="B36" s="4"/>
      <c r="C36" s="1"/>
      <c r="D36" s="8"/>
      <c r="E36" s="8"/>
      <c r="F36" s="1"/>
      <c r="G36" s="26"/>
      <c r="H36" s="111" t="s">
        <v>211</v>
      </c>
      <c r="I36" s="2"/>
      <c r="J36" s="2"/>
      <c r="K36" s="2"/>
      <c r="L36" s="2"/>
      <c r="M36" s="49"/>
      <c r="O36" s="49"/>
      <c r="P36" s="121">
        <v>2000</v>
      </c>
      <c r="Q36" s="2"/>
      <c r="R36" s="57"/>
    </row>
    <row r="37" spans="1:20">
      <c r="A37" s="4" t="s">
        <v>21</v>
      </c>
      <c r="B37" s="1" t="s">
        <v>116</v>
      </c>
      <c r="D37" s="22">
        <f t="shared" ref="D37:D53" si="12">SUM(H37+I37+J37)</f>
        <v>96027.95</v>
      </c>
      <c r="E37" s="113">
        <v>1</v>
      </c>
      <c r="F37" s="11">
        <v>39323</v>
      </c>
      <c r="G37" s="26">
        <v>29</v>
      </c>
      <c r="H37" s="2">
        <f>SUM(G37*$H$35)</f>
        <v>725</v>
      </c>
      <c r="I37" s="8">
        <v>95302.95</v>
      </c>
      <c r="K37" s="2">
        <f>+P37/(1-M37)</f>
        <v>152985.01960784313</v>
      </c>
      <c r="L37" s="39">
        <f>+P37-K37</f>
        <v>-22947.75294117647</v>
      </c>
      <c r="M37" s="49">
        <v>0.15</v>
      </c>
      <c r="O37" s="48">
        <v>0.25</v>
      </c>
      <c r="P37" s="2">
        <f t="shared" ref="P37:P52" si="13">(+D37/(1-O37))+$P$36</f>
        <v>130037.26666666666</v>
      </c>
      <c r="Q37" s="68">
        <f t="shared" ref="Q37:Q52" si="14">$A$2-F37</f>
        <v>215</v>
      </c>
      <c r="R37" s="56" t="s">
        <v>53</v>
      </c>
      <c r="S37" s="1"/>
      <c r="T37" s="1"/>
    </row>
    <row r="38" spans="1:20">
      <c r="A38" s="1" t="s">
        <v>28</v>
      </c>
      <c r="B38" s="60" t="s">
        <v>117</v>
      </c>
      <c r="D38" s="22">
        <f t="shared" si="12"/>
        <v>50929</v>
      </c>
      <c r="E38" s="113">
        <v>2</v>
      </c>
      <c r="F38" s="11">
        <v>39416</v>
      </c>
      <c r="G38" s="26">
        <v>26</v>
      </c>
      <c r="H38" s="2">
        <f t="shared" ref="H38:H53" si="15">SUM(G38*$H$35)</f>
        <v>650</v>
      </c>
      <c r="I38" s="8">
        <v>50279</v>
      </c>
      <c r="K38" s="2">
        <f t="shared" ref="K38:K52" si="16">+P38/(1-M38)</f>
        <v>82241.568627450979</v>
      </c>
      <c r="L38" s="39">
        <f t="shared" ref="L38:L52" si="17">+P38-K38</f>
        <v>-12336.23529411765</v>
      </c>
      <c r="M38" s="49">
        <v>0.15</v>
      </c>
      <c r="O38" s="48">
        <v>0.25</v>
      </c>
      <c r="P38" s="2">
        <f t="shared" si="13"/>
        <v>69905.333333333328</v>
      </c>
      <c r="Q38" s="68">
        <f t="shared" si="14"/>
        <v>122</v>
      </c>
      <c r="R38" s="56" t="s">
        <v>56</v>
      </c>
      <c r="S38" s="1"/>
      <c r="T38" s="1"/>
    </row>
    <row r="39" spans="1:20">
      <c r="A39" s="1" t="s">
        <v>27</v>
      </c>
      <c r="B39" s="1" t="s">
        <v>116</v>
      </c>
      <c r="D39" s="22">
        <f t="shared" si="12"/>
        <v>35975</v>
      </c>
      <c r="E39" s="113">
        <v>1</v>
      </c>
      <c r="F39" s="11">
        <v>39416</v>
      </c>
      <c r="G39" s="26">
        <v>24</v>
      </c>
      <c r="H39" s="2">
        <f t="shared" si="15"/>
        <v>600</v>
      </c>
      <c r="I39" s="8">
        <v>35375</v>
      </c>
      <c r="K39" s="2">
        <f t="shared" si="16"/>
        <v>58784.313725490196</v>
      </c>
      <c r="L39" s="39">
        <f t="shared" si="17"/>
        <v>-8817.6470588235316</v>
      </c>
      <c r="M39" s="49">
        <v>0.15</v>
      </c>
      <c r="O39" s="48">
        <v>0.25</v>
      </c>
      <c r="P39" s="2">
        <f t="shared" si="13"/>
        <v>49966.666666666664</v>
      </c>
      <c r="Q39" s="68">
        <f t="shared" si="14"/>
        <v>122</v>
      </c>
      <c r="R39" s="56" t="s">
        <v>57</v>
      </c>
      <c r="S39" s="1"/>
      <c r="T39" s="1"/>
    </row>
    <row r="40" spans="1:20">
      <c r="A40" s="1" t="s">
        <v>65</v>
      </c>
      <c r="B40" s="60" t="s">
        <v>117</v>
      </c>
      <c r="C40" s="1" t="s">
        <v>73</v>
      </c>
      <c r="D40" s="22">
        <f t="shared" si="12"/>
        <v>121662</v>
      </c>
      <c r="E40" s="113">
        <v>1</v>
      </c>
      <c r="F40" s="11">
        <v>39417</v>
      </c>
      <c r="G40" s="26">
        <v>33</v>
      </c>
      <c r="H40" s="2">
        <f t="shared" si="15"/>
        <v>825</v>
      </c>
      <c r="I40" s="8">
        <v>120837</v>
      </c>
      <c r="K40" s="2">
        <f t="shared" si="16"/>
        <v>193195.29411764708</v>
      </c>
      <c r="L40" s="39">
        <f t="shared" si="17"/>
        <v>-28979.294117647078</v>
      </c>
      <c r="M40" s="49">
        <v>0.15</v>
      </c>
      <c r="O40" s="48">
        <v>0.25</v>
      </c>
      <c r="P40" s="2">
        <f t="shared" si="13"/>
        <v>164216</v>
      </c>
      <c r="Q40" s="68">
        <f t="shared" si="14"/>
        <v>121</v>
      </c>
      <c r="R40" s="56" t="s">
        <v>51</v>
      </c>
      <c r="S40" s="1"/>
      <c r="T40" s="1"/>
    </row>
    <row r="41" spans="1:20">
      <c r="A41" s="1" t="s">
        <v>66</v>
      </c>
      <c r="B41" s="1" t="s">
        <v>116</v>
      </c>
      <c r="D41" s="22">
        <f t="shared" si="12"/>
        <v>12450.16</v>
      </c>
      <c r="E41" s="113">
        <v>2</v>
      </c>
      <c r="F41" s="11">
        <v>39246</v>
      </c>
      <c r="G41" s="26">
        <v>16</v>
      </c>
      <c r="H41" s="2">
        <f t="shared" si="15"/>
        <v>400</v>
      </c>
      <c r="I41" s="8">
        <v>12050.16</v>
      </c>
      <c r="K41" s="2">
        <f t="shared" si="16"/>
        <v>21882.603921568629</v>
      </c>
      <c r="L41" s="39">
        <f t="shared" si="17"/>
        <v>-3282.3905882352956</v>
      </c>
      <c r="M41" s="49">
        <v>0.15</v>
      </c>
      <c r="O41" s="48">
        <v>0.25</v>
      </c>
      <c r="P41" s="2">
        <f t="shared" si="13"/>
        <v>18600.213333333333</v>
      </c>
      <c r="Q41" s="68">
        <f t="shared" si="14"/>
        <v>292</v>
      </c>
      <c r="R41" s="56" t="s">
        <v>52</v>
      </c>
      <c r="S41" s="1"/>
      <c r="T41" s="1"/>
    </row>
    <row r="42" spans="1:20">
      <c r="A42" s="4" t="s">
        <v>55</v>
      </c>
      <c r="B42" s="60" t="s">
        <v>117</v>
      </c>
      <c r="C42" s="1" t="s">
        <v>118</v>
      </c>
      <c r="D42" s="22">
        <f t="shared" si="12"/>
        <v>65775</v>
      </c>
      <c r="E42" s="113">
        <v>1</v>
      </c>
      <c r="F42" s="11">
        <v>39247</v>
      </c>
      <c r="G42" s="43">
        <v>31</v>
      </c>
      <c r="H42" s="2">
        <f t="shared" si="15"/>
        <v>775</v>
      </c>
      <c r="I42" s="2">
        <v>65000</v>
      </c>
      <c r="K42" s="2">
        <f t="shared" si="16"/>
        <v>105529.41176470589</v>
      </c>
      <c r="L42" s="39">
        <f t="shared" si="17"/>
        <v>-15829.411764705888</v>
      </c>
      <c r="M42" s="49">
        <v>0.15</v>
      </c>
      <c r="O42" s="48">
        <v>0.25</v>
      </c>
      <c r="P42" s="2">
        <f t="shared" si="13"/>
        <v>89700</v>
      </c>
      <c r="Q42" s="68">
        <f t="shared" si="14"/>
        <v>291</v>
      </c>
      <c r="R42" s="56" t="s">
        <v>60</v>
      </c>
      <c r="S42" s="1"/>
      <c r="T42" s="1"/>
    </row>
    <row r="43" spans="1:20">
      <c r="A43" s="4" t="s">
        <v>23</v>
      </c>
      <c r="B43" s="1" t="s">
        <v>116</v>
      </c>
      <c r="D43" s="22">
        <f t="shared" si="12"/>
        <v>61593.34</v>
      </c>
      <c r="E43" s="113">
        <v>1</v>
      </c>
      <c r="F43" s="11">
        <v>39302</v>
      </c>
      <c r="G43" s="43">
        <v>31</v>
      </c>
      <c r="H43" s="2">
        <f t="shared" si="15"/>
        <v>775</v>
      </c>
      <c r="I43" s="2">
        <v>60818.34</v>
      </c>
      <c r="K43" s="2">
        <f t="shared" si="16"/>
        <v>98969.945098039214</v>
      </c>
      <c r="L43" s="39">
        <f t="shared" si="17"/>
        <v>-14845.49176470589</v>
      </c>
      <c r="M43" s="49">
        <v>0.15</v>
      </c>
      <c r="O43" s="48">
        <v>0.25</v>
      </c>
      <c r="P43" s="2">
        <f t="shared" si="13"/>
        <v>84124.453333333324</v>
      </c>
      <c r="Q43" s="68">
        <f t="shared" si="14"/>
        <v>236</v>
      </c>
      <c r="R43" s="56" t="s">
        <v>50</v>
      </c>
      <c r="S43" s="1"/>
      <c r="T43" s="1"/>
    </row>
    <row r="44" spans="1:20">
      <c r="A44" s="4" t="s">
        <v>22</v>
      </c>
      <c r="B44" s="60" t="s">
        <v>117</v>
      </c>
      <c r="D44" s="22">
        <f t="shared" si="12"/>
        <v>8994.42</v>
      </c>
      <c r="E44" s="113">
        <v>1.1428571428571399</v>
      </c>
      <c r="F44" s="11">
        <v>39322</v>
      </c>
      <c r="G44" s="43">
        <v>20</v>
      </c>
      <c r="H44" s="2">
        <f t="shared" si="15"/>
        <v>500</v>
      </c>
      <c r="I44" s="2">
        <v>8494.42</v>
      </c>
      <c r="K44" s="2">
        <f t="shared" si="16"/>
        <v>16461.835294117645</v>
      </c>
      <c r="L44" s="39">
        <f t="shared" si="17"/>
        <v>-2469.2752941176459</v>
      </c>
      <c r="M44" s="49">
        <v>0.15</v>
      </c>
      <c r="O44" s="48">
        <v>0.25</v>
      </c>
      <c r="P44" s="2">
        <f t="shared" si="13"/>
        <v>13992.56</v>
      </c>
      <c r="Q44" s="68">
        <f t="shared" si="14"/>
        <v>216</v>
      </c>
      <c r="R44" s="56" t="s">
        <v>49</v>
      </c>
      <c r="S44" s="1"/>
      <c r="T44" s="1"/>
    </row>
    <row r="45" spans="1:20">
      <c r="A45" s="1" t="s">
        <v>61</v>
      </c>
      <c r="B45" s="1" t="s">
        <v>116</v>
      </c>
      <c r="D45" s="22">
        <f t="shared" si="12"/>
        <v>50950</v>
      </c>
      <c r="E45" s="113">
        <v>1.1071428571428601</v>
      </c>
      <c r="F45" s="11">
        <v>39323</v>
      </c>
      <c r="G45" s="43">
        <v>38</v>
      </c>
      <c r="H45" s="2">
        <f t="shared" si="15"/>
        <v>950</v>
      </c>
      <c r="I45" s="2">
        <v>50000</v>
      </c>
      <c r="K45" s="2">
        <f t="shared" si="16"/>
        <v>82274.509803921566</v>
      </c>
      <c r="L45" s="39">
        <f t="shared" si="17"/>
        <v>-12341.176470588238</v>
      </c>
      <c r="M45" s="49">
        <v>0.15</v>
      </c>
      <c r="O45" s="48">
        <v>0.25</v>
      </c>
      <c r="P45" s="2">
        <f t="shared" si="13"/>
        <v>69933.333333333328</v>
      </c>
      <c r="Q45" s="68">
        <f t="shared" si="14"/>
        <v>215</v>
      </c>
      <c r="R45" s="56"/>
      <c r="S45" s="1"/>
      <c r="T45" s="1"/>
    </row>
    <row r="46" spans="1:20">
      <c r="A46" s="1" t="s">
        <v>26</v>
      </c>
      <c r="B46" s="60" t="s">
        <v>117</v>
      </c>
      <c r="D46" s="22">
        <f t="shared" si="12"/>
        <v>15079.77</v>
      </c>
      <c r="E46" s="113">
        <v>1.0714285714285701</v>
      </c>
      <c r="F46" s="11">
        <v>39339</v>
      </c>
      <c r="G46" s="43">
        <v>25</v>
      </c>
      <c r="H46" s="2">
        <f t="shared" si="15"/>
        <v>625</v>
      </c>
      <c r="I46" s="2">
        <v>14454.77</v>
      </c>
      <c r="K46" s="2">
        <f t="shared" si="16"/>
        <v>26007.482352941177</v>
      </c>
      <c r="L46" s="39">
        <f t="shared" si="17"/>
        <v>-3901.1223529411764</v>
      </c>
      <c r="M46" s="49">
        <v>0.15</v>
      </c>
      <c r="O46" s="48">
        <v>0.25</v>
      </c>
      <c r="P46" s="2">
        <f t="shared" si="13"/>
        <v>22106.36</v>
      </c>
      <c r="Q46" s="68">
        <f t="shared" si="14"/>
        <v>199</v>
      </c>
      <c r="R46" s="56" t="s">
        <v>48</v>
      </c>
      <c r="S46" s="1"/>
      <c r="T46" s="1"/>
    </row>
    <row r="47" spans="1:20">
      <c r="A47" s="1" t="s">
        <v>17</v>
      </c>
      <c r="B47" s="1" t="s">
        <v>116</v>
      </c>
      <c r="D47" s="22">
        <f t="shared" si="12"/>
        <v>17582.259999999998</v>
      </c>
      <c r="E47" s="113">
        <v>2</v>
      </c>
      <c r="F47" s="11">
        <v>39142</v>
      </c>
      <c r="G47" s="43">
        <v>28</v>
      </c>
      <c r="H47" s="2">
        <f t="shared" si="15"/>
        <v>700</v>
      </c>
      <c r="I47" s="2">
        <v>16882.259999999998</v>
      </c>
      <c r="K47" s="2">
        <f t="shared" si="16"/>
        <v>24126.637770897833</v>
      </c>
      <c r="L47" s="39">
        <f t="shared" si="17"/>
        <v>-3618.9956656346767</v>
      </c>
      <c r="M47" s="49">
        <v>0.15</v>
      </c>
      <c r="O47" s="48">
        <v>0.05</v>
      </c>
      <c r="P47" s="2">
        <f t="shared" si="13"/>
        <v>20507.642105263156</v>
      </c>
      <c r="Q47" s="68">
        <f t="shared" si="14"/>
        <v>396</v>
      </c>
      <c r="R47" s="56" t="s">
        <v>46</v>
      </c>
      <c r="S47" s="1"/>
      <c r="T47" s="1"/>
    </row>
    <row r="48" spans="1:20">
      <c r="A48" s="1" t="s">
        <v>18</v>
      </c>
      <c r="B48" s="60" t="s">
        <v>117</v>
      </c>
      <c r="D48" s="22">
        <f t="shared" si="12"/>
        <v>13150</v>
      </c>
      <c r="E48" s="113">
        <v>1</v>
      </c>
      <c r="F48" s="11">
        <v>39234</v>
      </c>
      <c r="G48" s="43">
        <v>26</v>
      </c>
      <c r="H48" s="2">
        <f t="shared" si="15"/>
        <v>650</v>
      </c>
      <c r="I48" s="2">
        <v>12500</v>
      </c>
      <c r="K48" s="2">
        <f t="shared" si="16"/>
        <v>21691.176470588234</v>
      </c>
      <c r="L48" s="39">
        <f t="shared" si="17"/>
        <v>-3253.6764705882342</v>
      </c>
      <c r="M48" s="49">
        <v>0.15</v>
      </c>
      <c r="O48" s="48">
        <v>0.2</v>
      </c>
      <c r="P48" s="2">
        <f t="shared" si="13"/>
        <v>18437.5</v>
      </c>
      <c r="Q48" s="68">
        <f t="shared" si="14"/>
        <v>304</v>
      </c>
      <c r="R48" s="56" t="s">
        <v>47</v>
      </c>
      <c r="S48" s="1"/>
      <c r="T48" s="1"/>
    </row>
    <row r="49" spans="1:21">
      <c r="A49" s="1" t="s">
        <v>19</v>
      </c>
      <c r="B49" s="1" t="s">
        <v>116</v>
      </c>
      <c r="D49" s="22">
        <f t="shared" si="12"/>
        <v>53955.14</v>
      </c>
      <c r="E49" s="113">
        <v>0.96428571428571497</v>
      </c>
      <c r="F49" s="11">
        <v>39276</v>
      </c>
      <c r="G49" s="43">
        <v>42</v>
      </c>
      <c r="H49" s="2">
        <f t="shared" si="15"/>
        <v>1050</v>
      </c>
      <c r="I49" s="25">
        <v>52905.14</v>
      </c>
      <c r="K49" s="2">
        <f t="shared" si="16"/>
        <v>86988.45490196078</v>
      </c>
      <c r="L49" s="39">
        <f t="shared" si="17"/>
        <v>-13048.268235294119</v>
      </c>
      <c r="M49" s="49">
        <v>0.15</v>
      </c>
      <c r="O49" s="48">
        <v>0.25</v>
      </c>
      <c r="P49" s="2">
        <f t="shared" si="13"/>
        <v>73940.186666666661</v>
      </c>
      <c r="Q49" s="68">
        <f t="shared" si="14"/>
        <v>262</v>
      </c>
      <c r="R49" s="56" t="s">
        <v>45</v>
      </c>
      <c r="S49" s="1"/>
      <c r="T49" s="1"/>
    </row>
    <row r="50" spans="1:21">
      <c r="A50" s="1" t="s">
        <v>16</v>
      </c>
      <c r="B50" s="60" t="s">
        <v>117</v>
      </c>
      <c r="D50" s="22">
        <f t="shared" si="12"/>
        <v>8531.93</v>
      </c>
      <c r="E50" s="113">
        <v>2</v>
      </c>
      <c r="F50" s="11">
        <v>39163</v>
      </c>
      <c r="G50" s="43">
        <v>23</v>
      </c>
      <c r="H50" s="2">
        <f t="shared" si="15"/>
        <v>575</v>
      </c>
      <c r="I50" s="25">
        <v>7956.93</v>
      </c>
      <c r="K50" s="2">
        <f t="shared" si="16"/>
        <v>12918.798761609907</v>
      </c>
      <c r="L50" s="39">
        <f t="shared" si="17"/>
        <v>-1937.8198142414858</v>
      </c>
      <c r="M50" s="49">
        <v>0.15</v>
      </c>
      <c r="O50" s="48">
        <v>0.05</v>
      </c>
      <c r="P50" s="2">
        <f t="shared" si="13"/>
        <v>10980.978947368421</v>
      </c>
      <c r="Q50" s="68">
        <f t="shared" si="14"/>
        <v>375</v>
      </c>
      <c r="R50" s="56" t="s">
        <v>44</v>
      </c>
      <c r="S50" s="1"/>
      <c r="T50" s="1"/>
    </row>
    <row r="51" spans="1:21">
      <c r="A51" s="5" t="s">
        <v>25</v>
      </c>
      <c r="B51" s="1" t="s">
        <v>116</v>
      </c>
      <c r="D51" s="22">
        <f t="shared" si="12"/>
        <v>20398.77</v>
      </c>
      <c r="E51" s="113">
        <v>0.89285714285714302</v>
      </c>
      <c r="F51" s="11">
        <v>39339</v>
      </c>
      <c r="G51" s="26">
        <v>31</v>
      </c>
      <c r="H51" s="2">
        <f t="shared" si="15"/>
        <v>775</v>
      </c>
      <c r="I51" s="8">
        <v>19623.77</v>
      </c>
      <c r="K51" s="2">
        <f t="shared" si="16"/>
        <v>32351.132352941175</v>
      </c>
      <c r="L51" s="39">
        <f t="shared" si="17"/>
        <v>-4852.6698529411769</v>
      </c>
      <c r="M51" s="49">
        <v>0.15</v>
      </c>
      <c r="O51" s="48">
        <v>0.2</v>
      </c>
      <c r="P51" s="2">
        <f t="shared" si="13"/>
        <v>27498.462499999998</v>
      </c>
      <c r="Q51" s="68">
        <f t="shared" si="14"/>
        <v>199</v>
      </c>
      <c r="R51" s="56" t="s">
        <v>43</v>
      </c>
      <c r="S51" s="1"/>
      <c r="T51" s="1"/>
    </row>
    <row r="52" spans="1:21">
      <c r="A52" s="5" t="s">
        <v>8</v>
      </c>
      <c r="B52" s="60" t="s">
        <v>117</v>
      </c>
      <c r="D52" s="22">
        <f t="shared" si="12"/>
        <v>15621</v>
      </c>
      <c r="E52" s="113">
        <v>0.85714285714285798</v>
      </c>
      <c r="F52" s="11">
        <v>38520</v>
      </c>
      <c r="G52" s="26">
        <v>28</v>
      </c>
      <c r="H52" s="2">
        <f t="shared" si="15"/>
        <v>700</v>
      </c>
      <c r="I52" s="8">
        <v>14921</v>
      </c>
      <c r="K52" s="2">
        <f t="shared" si="16"/>
        <v>21697.832817337465</v>
      </c>
      <c r="L52" s="39">
        <f t="shared" si="17"/>
        <v>-3254.6749226006214</v>
      </c>
      <c r="M52" s="49">
        <v>0.15</v>
      </c>
      <c r="O52" s="48">
        <v>0.05</v>
      </c>
      <c r="P52" s="2">
        <f t="shared" si="13"/>
        <v>18443.157894736843</v>
      </c>
      <c r="Q52" s="68">
        <f t="shared" si="14"/>
        <v>1018</v>
      </c>
      <c r="R52" s="56" t="s">
        <v>42</v>
      </c>
      <c r="S52" s="1"/>
      <c r="T52" s="1"/>
    </row>
    <row r="53" spans="1:21">
      <c r="A53" s="5" t="s">
        <v>62</v>
      </c>
      <c r="B53" s="1" t="s">
        <v>116</v>
      </c>
      <c r="D53" s="22">
        <f t="shared" si="12"/>
        <v>2525</v>
      </c>
      <c r="E53" s="113">
        <v>0.82142857142857195</v>
      </c>
      <c r="F53" s="11"/>
      <c r="G53" s="26">
        <v>21</v>
      </c>
      <c r="H53" s="2">
        <f t="shared" si="15"/>
        <v>525</v>
      </c>
      <c r="I53" s="8">
        <v>2000</v>
      </c>
      <c r="L53" s="39"/>
      <c r="Q53" s="15"/>
      <c r="R53" s="56" t="s">
        <v>63</v>
      </c>
      <c r="S53" s="1"/>
      <c r="T53" s="1"/>
    </row>
    <row r="54" spans="1:21">
      <c r="A54" s="6"/>
    </row>
    <row r="55" spans="1:21">
      <c r="A55" s="6"/>
    </row>
    <row r="56" spans="1:21">
      <c r="A56" s="6"/>
    </row>
    <row r="57" spans="1:21">
      <c r="A57" s="38" t="str">
        <f>+$A$1</f>
        <v>ABC Marine (Sample)</v>
      </c>
      <c r="B57" s="33"/>
      <c r="C57" s="33"/>
      <c r="D57" s="33"/>
      <c r="E57" s="33"/>
      <c r="F57" s="33"/>
      <c r="G57" s="41"/>
      <c r="H57" s="33"/>
      <c r="I57" s="33"/>
      <c r="J57" s="33"/>
      <c r="K57" s="33"/>
      <c r="L57" s="33"/>
      <c r="M57" s="46"/>
      <c r="N57" s="33"/>
      <c r="O57" s="46"/>
      <c r="P57" s="33"/>
      <c r="Q57" s="52"/>
      <c r="R57" s="52"/>
      <c r="S57" s="33"/>
      <c r="T57" s="33"/>
      <c r="U57" s="33"/>
    </row>
    <row r="58" spans="1:21">
      <c r="A58" s="37">
        <f>+$A$2</f>
        <v>39538</v>
      </c>
    </row>
    <row r="59" spans="1:21" s="4" customFormat="1">
      <c r="A59" s="144" t="s">
        <v>67</v>
      </c>
      <c r="C59" s="1"/>
      <c r="D59" s="3"/>
      <c r="E59" s="3"/>
      <c r="F59" s="1"/>
      <c r="G59" s="26"/>
      <c r="H59" s="2"/>
      <c r="I59" s="2"/>
      <c r="J59" s="2"/>
      <c r="K59" s="2"/>
      <c r="L59" s="2"/>
      <c r="M59" s="49"/>
      <c r="N59" s="2"/>
      <c r="O59" s="49"/>
      <c r="P59" s="2"/>
      <c r="Q59" s="27"/>
      <c r="R59" s="27"/>
      <c r="S59" s="2"/>
      <c r="T59" s="2"/>
      <c r="U59" s="1"/>
    </row>
    <row r="60" spans="1:21" s="109" customFormat="1" ht="52">
      <c r="A60" s="105" t="s">
        <v>247</v>
      </c>
      <c r="B60" s="143" t="s">
        <v>301</v>
      </c>
      <c r="C60" s="96" t="s">
        <v>239</v>
      </c>
      <c r="D60" s="142" t="s">
        <v>302</v>
      </c>
      <c r="E60" s="101" t="s">
        <v>267</v>
      </c>
      <c r="F60" s="96" t="s">
        <v>251</v>
      </c>
      <c r="G60" s="106" t="s">
        <v>268</v>
      </c>
      <c r="H60" s="99" t="s">
        <v>263</v>
      </c>
      <c r="I60" s="142" t="s">
        <v>307</v>
      </c>
      <c r="J60" s="101"/>
      <c r="K60" s="101" t="s">
        <v>265</v>
      </c>
      <c r="L60" s="101" t="s">
        <v>256</v>
      </c>
      <c r="M60" s="110" t="s">
        <v>309</v>
      </c>
      <c r="N60" s="2"/>
      <c r="O60" s="114" t="s">
        <v>269</v>
      </c>
      <c r="P60" s="101" t="s">
        <v>260</v>
      </c>
      <c r="Q60" s="96" t="s">
        <v>266</v>
      </c>
      <c r="R60" s="96" t="s">
        <v>262</v>
      </c>
      <c r="S60" s="107"/>
      <c r="T60" s="107"/>
      <c r="U60" s="108"/>
    </row>
    <row r="61" spans="1:21" s="4" customFormat="1">
      <c r="A61" s="5"/>
      <c r="C61" s="1"/>
      <c r="D61" s="8"/>
      <c r="E61" s="8"/>
      <c r="F61" s="1"/>
      <c r="G61" s="43"/>
      <c r="H61" s="112">
        <v>5</v>
      </c>
      <c r="I61" s="8"/>
      <c r="J61" s="8"/>
      <c r="K61" s="8"/>
      <c r="L61" s="8"/>
      <c r="M61" s="51"/>
      <c r="N61" s="2"/>
      <c r="P61" s="146" t="s">
        <v>308</v>
      </c>
      <c r="Q61" s="58"/>
      <c r="R61" s="58"/>
      <c r="S61" s="8"/>
      <c r="T61" s="8"/>
      <c r="U61" s="1"/>
    </row>
    <row r="62" spans="1:21" s="4" customFormat="1">
      <c r="A62" s="20" t="s">
        <v>7</v>
      </c>
      <c r="B62" s="13"/>
      <c r="C62" s="13"/>
      <c r="D62" s="13"/>
      <c r="E62" s="13"/>
      <c r="G62" s="43"/>
      <c r="H62" s="111" t="s">
        <v>211</v>
      </c>
      <c r="I62" s="8"/>
      <c r="J62" s="8"/>
      <c r="K62" s="8"/>
      <c r="L62" s="8"/>
      <c r="M62" s="51"/>
      <c r="N62" s="2"/>
      <c r="O62" s="51"/>
      <c r="P62" s="121">
        <v>0</v>
      </c>
      <c r="Q62" s="58"/>
      <c r="R62" s="58"/>
      <c r="S62" s="8"/>
      <c r="T62" s="8"/>
    </row>
    <row r="63" spans="1:21">
      <c r="A63" s="20" t="s">
        <v>136</v>
      </c>
      <c r="C63" s="4"/>
      <c r="F63" s="4"/>
      <c r="G63" s="43"/>
      <c r="H63" s="8"/>
      <c r="I63" s="8"/>
      <c r="J63" s="8"/>
      <c r="K63" s="8"/>
      <c r="L63" s="8"/>
      <c r="M63" s="51"/>
      <c r="O63" s="51"/>
      <c r="P63" s="8"/>
      <c r="Q63" s="58"/>
      <c r="R63" s="58"/>
      <c r="S63" s="8"/>
      <c r="T63" s="8"/>
      <c r="U63" s="4"/>
    </row>
    <row r="64" spans="1:21">
      <c r="A64" s="59" t="s">
        <v>137</v>
      </c>
      <c r="B64" s="1" t="s">
        <v>94</v>
      </c>
      <c r="C64" s="7" t="s">
        <v>131</v>
      </c>
      <c r="D64" s="22">
        <f t="shared" ref="D64:D76" si="18">SUM(H64+I64+J64)</f>
        <v>1998.04</v>
      </c>
      <c r="E64" s="113">
        <v>2</v>
      </c>
      <c r="F64" s="10">
        <v>39350</v>
      </c>
      <c r="G64" s="43">
        <v>18</v>
      </c>
      <c r="H64" s="2">
        <f>SUM(G64*$H$61)</f>
        <v>90</v>
      </c>
      <c r="I64" s="8">
        <v>1908.04</v>
      </c>
      <c r="K64" s="2">
        <f t="shared" ref="K64" si="19">+P64/(1-M64)</f>
        <v>3134.1803921568626</v>
      </c>
      <c r="L64" s="39">
        <f t="shared" ref="L64" si="20">+P64-K64</f>
        <v>-470.1270588235293</v>
      </c>
      <c r="M64" s="49">
        <v>0.15</v>
      </c>
      <c r="O64" s="48">
        <v>0.25</v>
      </c>
      <c r="P64" s="2">
        <f t="shared" ref="P64" si="21">(+D64/(1-O64))+$P$62</f>
        <v>2664.0533333333333</v>
      </c>
      <c r="Q64" s="68">
        <f t="shared" ref="Q64:Q91" si="22">$A$2-F64</f>
        <v>188</v>
      </c>
      <c r="R64" s="56" t="s">
        <v>44</v>
      </c>
      <c r="U64" s="4"/>
    </row>
    <row r="65" spans="1:21">
      <c r="A65" s="1" t="s">
        <v>138</v>
      </c>
      <c r="B65" s="1" t="s">
        <v>93</v>
      </c>
      <c r="C65" s="5" t="s">
        <v>130</v>
      </c>
      <c r="D65" s="22">
        <f t="shared" si="18"/>
        <v>2732.92</v>
      </c>
      <c r="E65" s="113">
        <v>1</v>
      </c>
      <c r="F65" s="11">
        <v>39245</v>
      </c>
      <c r="G65" s="43">
        <v>19</v>
      </c>
      <c r="H65" s="2">
        <f t="shared" ref="H65:H76" si="23">SUM(G65*$H$61)</f>
        <v>95</v>
      </c>
      <c r="I65" s="2">
        <v>2637.92</v>
      </c>
      <c r="K65" s="2">
        <f t="shared" ref="K65:K91" si="24">+P65/(1-M65)</f>
        <v>4286.9333333333334</v>
      </c>
      <c r="L65" s="39">
        <f t="shared" ref="L65:L91" si="25">+P65-K65</f>
        <v>-643.04</v>
      </c>
      <c r="M65" s="49">
        <v>0.15</v>
      </c>
      <c r="O65" s="48">
        <v>0.25</v>
      </c>
      <c r="P65" s="2">
        <f t="shared" ref="P65:P76" si="26">(+D65/(1-O65))+$P$62</f>
        <v>3643.8933333333334</v>
      </c>
      <c r="Q65" s="68">
        <f t="shared" si="22"/>
        <v>293</v>
      </c>
      <c r="R65" s="56" t="s">
        <v>44</v>
      </c>
    </row>
    <row r="66" spans="1:21">
      <c r="A66" s="1" t="s">
        <v>139</v>
      </c>
      <c r="B66" s="1" t="s">
        <v>119</v>
      </c>
      <c r="C66" s="5" t="s">
        <v>132</v>
      </c>
      <c r="D66" s="22">
        <f t="shared" si="18"/>
        <v>2864.14</v>
      </c>
      <c r="E66" s="113">
        <v>0.96428571428571497</v>
      </c>
      <c r="F66" s="11">
        <v>39281</v>
      </c>
      <c r="G66" s="43">
        <v>20</v>
      </c>
      <c r="H66" s="2">
        <f t="shared" si="23"/>
        <v>100</v>
      </c>
      <c r="I66" s="2">
        <v>2764.14</v>
      </c>
      <c r="K66" s="2">
        <f t="shared" si="24"/>
        <v>4492.7686274509797</v>
      </c>
      <c r="L66" s="39">
        <f t="shared" si="25"/>
        <v>-673.91529411764668</v>
      </c>
      <c r="M66" s="49">
        <v>0.15</v>
      </c>
      <c r="O66" s="48">
        <v>0.25</v>
      </c>
      <c r="P66" s="2">
        <f t="shared" si="26"/>
        <v>3818.853333333333</v>
      </c>
      <c r="Q66" s="68">
        <f t="shared" si="22"/>
        <v>257</v>
      </c>
      <c r="R66" s="56" t="s">
        <v>44</v>
      </c>
    </row>
    <row r="67" spans="1:21">
      <c r="A67" s="1" t="s">
        <v>140</v>
      </c>
      <c r="B67" s="1" t="s">
        <v>120</v>
      </c>
      <c r="C67" s="5" t="s">
        <v>133</v>
      </c>
      <c r="D67" s="22">
        <f t="shared" si="18"/>
        <v>2874.14</v>
      </c>
      <c r="E67" s="113">
        <v>2</v>
      </c>
      <c r="F67" s="11">
        <v>39461</v>
      </c>
      <c r="G67" s="43">
        <v>19</v>
      </c>
      <c r="H67" s="2">
        <f t="shared" si="23"/>
        <v>95</v>
      </c>
      <c r="I67" s="2">
        <v>2779.14</v>
      </c>
      <c r="K67" s="2">
        <f t="shared" si="24"/>
        <v>4508.4549019607839</v>
      </c>
      <c r="L67" s="39">
        <f t="shared" si="25"/>
        <v>-676.2682352941174</v>
      </c>
      <c r="M67" s="49">
        <v>0.15</v>
      </c>
      <c r="O67" s="48">
        <v>0.25</v>
      </c>
      <c r="P67" s="2">
        <f t="shared" si="26"/>
        <v>3832.1866666666665</v>
      </c>
      <c r="Q67" s="68">
        <f t="shared" si="22"/>
        <v>77</v>
      </c>
      <c r="R67" s="56" t="s">
        <v>44</v>
      </c>
      <c r="U67" s="4"/>
    </row>
    <row r="68" spans="1:21">
      <c r="A68" s="1" t="s">
        <v>141</v>
      </c>
      <c r="B68" s="1" t="s">
        <v>121</v>
      </c>
      <c r="C68" s="5" t="s">
        <v>134</v>
      </c>
      <c r="D68" s="22">
        <f t="shared" si="18"/>
        <v>3082.48</v>
      </c>
      <c r="E68" s="113">
        <v>0.89285714285714302</v>
      </c>
      <c r="F68" s="11">
        <v>39281</v>
      </c>
      <c r="G68" s="43">
        <v>21</v>
      </c>
      <c r="H68" s="2">
        <f t="shared" si="23"/>
        <v>105</v>
      </c>
      <c r="I68" s="2">
        <v>2977.48</v>
      </c>
      <c r="K68" s="2">
        <f t="shared" si="24"/>
        <v>4835.262745098039</v>
      </c>
      <c r="L68" s="39">
        <f t="shared" si="25"/>
        <v>-725.28941176470562</v>
      </c>
      <c r="M68" s="49">
        <v>0.15</v>
      </c>
      <c r="O68" s="48">
        <v>0.25</v>
      </c>
      <c r="P68" s="2">
        <f t="shared" si="26"/>
        <v>4109.9733333333334</v>
      </c>
      <c r="Q68" s="68">
        <f t="shared" si="22"/>
        <v>257</v>
      </c>
      <c r="R68" s="56" t="s">
        <v>44</v>
      </c>
      <c r="U68" s="4"/>
    </row>
    <row r="69" spans="1:21">
      <c r="A69" s="1" t="s">
        <v>142</v>
      </c>
      <c r="B69" s="1" t="s">
        <v>122</v>
      </c>
      <c r="C69" s="5" t="s">
        <v>134</v>
      </c>
      <c r="D69" s="22">
        <f t="shared" si="18"/>
        <v>3135.48</v>
      </c>
      <c r="E69" s="113">
        <v>0.85714285714285798</v>
      </c>
      <c r="F69" s="11">
        <v>39279</v>
      </c>
      <c r="G69" s="43">
        <v>21</v>
      </c>
      <c r="H69" s="2">
        <f t="shared" si="23"/>
        <v>105</v>
      </c>
      <c r="I69" s="2">
        <v>3030.48</v>
      </c>
      <c r="K69" s="2">
        <f t="shared" si="24"/>
        <v>4918.4000000000005</v>
      </c>
      <c r="L69" s="39">
        <f t="shared" si="25"/>
        <v>-737.76000000000022</v>
      </c>
      <c r="M69" s="49">
        <v>0.15</v>
      </c>
      <c r="O69" s="48">
        <v>0.25</v>
      </c>
      <c r="P69" s="2">
        <f t="shared" si="26"/>
        <v>4180.6400000000003</v>
      </c>
      <c r="Q69" s="68">
        <f t="shared" si="22"/>
        <v>259</v>
      </c>
      <c r="R69" s="56" t="s">
        <v>44</v>
      </c>
      <c r="U69" s="4"/>
    </row>
    <row r="70" spans="1:21">
      <c r="A70" s="1" t="s">
        <v>143</v>
      </c>
      <c r="B70" s="1" t="s">
        <v>123</v>
      </c>
      <c r="C70" s="5" t="s">
        <v>135</v>
      </c>
      <c r="D70" s="22">
        <f t="shared" si="18"/>
        <v>3952.28</v>
      </c>
      <c r="E70" s="113">
        <v>0.82142857142857195</v>
      </c>
      <c r="F70" s="11">
        <v>39483</v>
      </c>
      <c r="G70" s="43">
        <v>24</v>
      </c>
      <c r="H70" s="2">
        <f t="shared" si="23"/>
        <v>120</v>
      </c>
      <c r="I70" s="2">
        <v>3832.28</v>
      </c>
      <c r="K70" s="2">
        <f t="shared" si="24"/>
        <v>6199.6549019607846</v>
      </c>
      <c r="L70" s="39">
        <f t="shared" si="25"/>
        <v>-929.94823529411769</v>
      </c>
      <c r="M70" s="49">
        <v>0.15</v>
      </c>
      <c r="O70" s="48">
        <v>0.25</v>
      </c>
      <c r="P70" s="2">
        <f t="shared" si="26"/>
        <v>5269.7066666666669</v>
      </c>
      <c r="Q70" s="68">
        <f t="shared" si="22"/>
        <v>55</v>
      </c>
      <c r="R70" s="56" t="s">
        <v>44</v>
      </c>
      <c r="U70" s="4"/>
    </row>
    <row r="71" spans="1:21" s="4" customFormat="1">
      <c r="A71" s="1" t="s">
        <v>144</v>
      </c>
      <c r="B71" s="1" t="s">
        <v>124</v>
      </c>
      <c r="C71" s="5" t="s">
        <v>103</v>
      </c>
      <c r="D71" s="22">
        <f t="shared" si="18"/>
        <v>3418.7</v>
      </c>
      <c r="E71" s="113">
        <v>0.66326530612245005</v>
      </c>
      <c r="F71" s="10">
        <v>39364</v>
      </c>
      <c r="G71" s="43">
        <v>23</v>
      </c>
      <c r="H71" s="2">
        <f t="shared" si="23"/>
        <v>115</v>
      </c>
      <c r="I71" s="2">
        <v>3303.7</v>
      </c>
      <c r="J71" s="2"/>
      <c r="K71" s="2">
        <f t="shared" si="24"/>
        <v>5362.666666666667</v>
      </c>
      <c r="L71" s="39">
        <f t="shared" si="25"/>
        <v>-804.40000000000055</v>
      </c>
      <c r="M71" s="49">
        <v>0.15</v>
      </c>
      <c r="N71" s="2"/>
      <c r="O71" s="48">
        <v>0.25</v>
      </c>
      <c r="P71" s="2">
        <f t="shared" si="26"/>
        <v>4558.2666666666664</v>
      </c>
      <c r="Q71" s="68">
        <f t="shared" si="22"/>
        <v>174</v>
      </c>
      <c r="R71" s="56" t="s">
        <v>44</v>
      </c>
      <c r="S71" s="2"/>
      <c r="T71" s="2"/>
      <c r="U71" s="1"/>
    </row>
    <row r="72" spans="1:21">
      <c r="A72" s="1" t="s">
        <v>145</v>
      </c>
      <c r="B72" s="1" t="s">
        <v>125</v>
      </c>
      <c r="C72" s="5">
        <v>22</v>
      </c>
      <c r="D72" s="22">
        <f t="shared" si="18"/>
        <v>3422.03</v>
      </c>
      <c r="E72" s="113">
        <v>0.66326530612245005</v>
      </c>
      <c r="F72" s="11">
        <v>38934</v>
      </c>
      <c r="G72" s="43">
        <v>22</v>
      </c>
      <c r="H72" s="2">
        <f t="shared" si="23"/>
        <v>110</v>
      </c>
      <c r="I72" s="2">
        <v>3312.03</v>
      </c>
      <c r="K72" s="2">
        <f t="shared" si="24"/>
        <v>4237.8080495356044</v>
      </c>
      <c r="L72" s="39">
        <f t="shared" si="25"/>
        <v>-635.67120743034093</v>
      </c>
      <c r="M72" s="49">
        <v>0.15</v>
      </c>
      <c r="O72" s="48">
        <v>0.05</v>
      </c>
      <c r="P72" s="2">
        <f t="shared" si="26"/>
        <v>3602.1368421052634</v>
      </c>
      <c r="Q72" s="68">
        <f t="shared" si="22"/>
        <v>604</v>
      </c>
      <c r="R72" s="56" t="s">
        <v>44</v>
      </c>
      <c r="U72" s="4"/>
    </row>
    <row r="73" spans="1:21">
      <c r="A73" s="1" t="s">
        <v>146</v>
      </c>
      <c r="B73" s="1" t="s">
        <v>126</v>
      </c>
      <c r="C73" s="5">
        <v>23</v>
      </c>
      <c r="D73" s="22">
        <f t="shared" si="18"/>
        <v>3555.9</v>
      </c>
      <c r="E73" s="113">
        <v>0.66326530612245005</v>
      </c>
      <c r="F73" s="11">
        <v>39163</v>
      </c>
      <c r="G73" s="43">
        <v>23</v>
      </c>
      <c r="H73" s="2">
        <f t="shared" si="23"/>
        <v>115</v>
      </c>
      <c r="I73" s="2">
        <v>3440.9</v>
      </c>
      <c r="K73" s="2">
        <f t="shared" si="24"/>
        <v>4403.5913312693501</v>
      </c>
      <c r="L73" s="39">
        <f t="shared" si="25"/>
        <v>-660.53869969040261</v>
      </c>
      <c r="M73" s="49">
        <v>0.15</v>
      </c>
      <c r="O73" s="48">
        <v>0.05</v>
      </c>
      <c r="P73" s="2">
        <f t="shared" si="26"/>
        <v>3743.0526315789475</v>
      </c>
      <c r="Q73" s="68">
        <f t="shared" si="22"/>
        <v>375</v>
      </c>
      <c r="R73" s="56" t="s">
        <v>44</v>
      </c>
      <c r="U73" s="4"/>
    </row>
    <row r="74" spans="1:21">
      <c r="A74" s="1" t="s">
        <v>147</v>
      </c>
      <c r="B74" s="1" t="s">
        <v>127</v>
      </c>
      <c r="C74" s="5">
        <v>28</v>
      </c>
      <c r="D74" s="22">
        <f t="shared" si="18"/>
        <v>4283.3</v>
      </c>
      <c r="E74" s="113">
        <v>2</v>
      </c>
      <c r="F74" s="11">
        <v>39163</v>
      </c>
      <c r="G74" s="43">
        <v>28</v>
      </c>
      <c r="H74" s="2">
        <f t="shared" si="23"/>
        <v>140</v>
      </c>
      <c r="I74" s="2">
        <v>4143.3</v>
      </c>
      <c r="K74" s="2">
        <f t="shared" si="24"/>
        <v>5304.3962848297215</v>
      </c>
      <c r="L74" s="39">
        <f t="shared" si="25"/>
        <v>-795.65944272445813</v>
      </c>
      <c r="M74" s="49">
        <v>0.15</v>
      </c>
      <c r="O74" s="48">
        <v>0.05</v>
      </c>
      <c r="P74" s="2">
        <f t="shared" si="26"/>
        <v>4508.7368421052633</v>
      </c>
      <c r="Q74" s="68">
        <f t="shared" si="22"/>
        <v>375</v>
      </c>
      <c r="R74" s="56" t="s">
        <v>44</v>
      </c>
      <c r="U74" s="4"/>
    </row>
    <row r="75" spans="1:21">
      <c r="A75" s="1" t="s">
        <v>148</v>
      </c>
      <c r="B75" s="1" t="s">
        <v>128</v>
      </c>
      <c r="C75" s="5">
        <v>26</v>
      </c>
      <c r="D75" s="22">
        <f t="shared" si="18"/>
        <v>4322.8999999999996</v>
      </c>
      <c r="E75" s="113">
        <v>0.66326530612245005</v>
      </c>
      <c r="F75" s="11">
        <v>39163</v>
      </c>
      <c r="G75" s="43">
        <v>26</v>
      </c>
      <c r="H75" s="2">
        <f t="shared" si="23"/>
        <v>130</v>
      </c>
      <c r="I75" s="2">
        <v>4192.8999999999996</v>
      </c>
      <c r="K75" s="2">
        <f t="shared" si="24"/>
        <v>5353.4365325077406</v>
      </c>
      <c r="L75" s="39">
        <f t="shared" si="25"/>
        <v>-803.01547987616141</v>
      </c>
      <c r="M75" s="49">
        <v>0.15</v>
      </c>
      <c r="O75" s="48">
        <v>0.05</v>
      </c>
      <c r="P75" s="2">
        <f t="shared" si="26"/>
        <v>4550.4210526315792</v>
      </c>
      <c r="Q75" s="68">
        <f t="shared" si="22"/>
        <v>375</v>
      </c>
      <c r="R75" s="56" t="s">
        <v>44</v>
      </c>
      <c r="U75" s="4"/>
    </row>
    <row r="76" spans="1:21">
      <c r="A76" s="1" t="s">
        <v>149</v>
      </c>
      <c r="B76" s="1" t="s">
        <v>129</v>
      </c>
      <c r="C76" s="5">
        <v>29</v>
      </c>
      <c r="D76" s="22">
        <f t="shared" si="18"/>
        <v>6204.96</v>
      </c>
      <c r="E76" s="113">
        <v>0.66326530612245005</v>
      </c>
      <c r="F76" s="11">
        <v>39163</v>
      </c>
      <c r="G76" s="43">
        <v>29</v>
      </c>
      <c r="H76" s="2">
        <f t="shared" si="23"/>
        <v>145</v>
      </c>
      <c r="I76" s="2">
        <v>6059.96</v>
      </c>
      <c r="K76" s="2">
        <f t="shared" si="24"/>
        <v>7684.1609907120746</v>
      </c>
      <c r="L76" s="39">
        <f t="shared" si="25"/>
        <v>-1152.6241486068111</v>
      </c>
      <c r="M76" s="49">
        <v>0.15</v>
      </c>
      <c r="O76" s="48">
        <v>0.05</v>
      </c>
      <c r="P76" s="2">
        <f t="shared" si="26"/>
        <v>6531.5368421052635</v>
      </c>
      <c r="Q76" s="68">
        <f t="shared" si="22"/>
        <v>375</v>
      </c>
      <c r="R76" s="56" t="s">
        <v>44</v>
      </c>
      <c r="U76" s="4"/>
    </row>
    <row r="77" spans="1:21">
      <c r="A77" s="7"/>
      <c r="C77" s="7"/>
      <c r="D77" s="22"/>
      <c r="E77" s="2"/>
      <c r="F77" s="11"/>
      <c r="G77" s="43"/>
      <c r="I77" s="25"/>
      <c r="L77" s="39"/>
      <c r="O77" s="48"/>
      <c r="Q77" s="68"/>
      <c r="R77" s="56"/>
      <c r="S77" s="8"/>
      <c r="T77" s="8"/>
      <c r="U77" s="4"/>
    </row>
    <row r="78" spans="1:21">
      <c r="A78" s="20" t="s">
        <v>150</v>
      </c>
      <c r="C78" s="7"/>
      <c r="D78" s="22"/>
      <c r="E78" s="2"/>
      <c r="F78" s="11"/>
      <c r="G78" s="43"/>
      <c r="I78" s="25"/>
      <c r="L78" s="39"/>
      <c r="O78" s="48"/>
      <c r="Q78" s="68"/>
      <c r="R78" s="56"/>
      <c r="U78" s="4"/>
    </row>
    <row r="79" spans="1:21">
      <c r="A79" s="1" t="s">
        <v>151</v>
      </c>
      <c r="B79" s="1" t="s">
        <v>123</v>
      </c>
      <c r="C79" s="5" t="s">
        <v>161</v>
      </c>
      <c r="D79" s="22">
        <f t="shared" ref="D79:D86" si="27">SUM(H79+I79+J79)</f>
        <v>3237.25</v>
      </c>
      <c r="E79" s="113">
        <v>0.66326530612245005</v>
      </c>
      <c r="F79" s="10">
        <v>39350</v>
      </c>
      <c r="G79" s="43">
        <v>19</v>
      </c>
      <c r="H79" s="2">
        <f t="shared" ref="H79:H86" si="28">SUM(G79*$H$61)</f>
        <v>95</v>
      </c>
      <c r="I79" s="8">
        <f>2837+174+131.25</f>
        <v>3142.25</v>
      </c>
      <c r="K79" s="2">
        <f t="shared" si="24"/>
        <v>5078.0392156862745</v>
      </c>
      <c r="L79" s="39">
        <f t="shared" si="25"/>
        <v>-761.70588235294144</v>
      </c>
      <c r="M79" s="49">
        <v>0.15</v>
      </c>
      <c r="O79" s="48">
        <v>0.25</v>
      </c>
      <c r="P79" s="2">
        <f t="shared" ref="P79:P86" si="29">(+D79/(1-O79))+$P$62</f>
        <v>4316.333333333333</v>
      </c>
      <c r="Q79" s="68">
        <f t="shared" si="22"/>
        <v>188</v>
      </c>
      <c r="R79" s="56" t="s">
        <v>44</v>
      </c>
    </row>
    <row r="80" spans="1:21">
      <c r="A80" s="1" t="s">
        <v>152</v>
      </c>
      <c r="B80" s="1" t="s">
        <v>124</v>
      </c>
      <c r="C80" s="5" t="s">
        <v>162</v>
      </c>
      <c r="D80" s="22">
        <f t="shared" si="27"/>
        <v>4817.3599999999997</v>
      </c>
      <c r="E80" s="113">
        <v>0.66326530612245005</v>
      </c>
      <c r="F80" s="11">
        <v>39245</v>
      </c>
      <c r="G80" s="43">
        <v>22</v>
      </c>
      <c r="H80" s="2">
        <f t="shared" si="28"/>
        <v>110</v>
      </c>
      <c r="I80" s="8">
        <v>4707.3599999999997</v>
      </c>
      <c r="K80" s="2">
        <f t="shared" si="24"/>
        <v>7556.6431372549023</v>
      </c>
      <c r="L80" s="39">
        <f t="shared" si="25"/>
        <v>-1133.4964705882358</v>
      </c>
      <c r="M80" s="49">
        <v>0.15</v>
      </c>
      <c r="O80" s="48">
        <v>0.25</v>
      </c>
      <c r="P80" s="2">
        <f t="shared" si="29"/>
        <v>6423.1466666666665</v>
      </c>
      <c r="Q80" s="68">
        <f t="shared" si="22"/>
        <v>293</v>
      </c>
      <c r="R80" s="56" t="s">
        <v>44</v>
      </c>
    </row>
    <row r="81" spans="1:21">
      <c r="A81" s="1" t="s">
        <v>153</v>
      </c>
      <c r="B81" s="1" t="s">
        <v>125</v>
      </c>
      <c r="C81" s="5" t="s">
        <v>163</v>
      </c>
      <c r="D81" s="22">
        <f t="shared" si="27"/>
        <v>4817.3599999999997</v>
      </c>
      <c r="E81" s="113">
        <v>0.66326530612245005</v>
      </c>
      <c r="F81" s="11">
        <v>39281</v>
      </c>
      <c r="G81" s="43">
        <v>22</v>
      </c>
      <c r="H81" s="2">
        <f t="shared" si="28"/>
        <v>110</v>
      </c>
      <c r="I81" s="8">
        <v>4707.3599999999997</v>
      </c>
      <c r="K81" s="2">
        <f t="shared" si="24"/>
        <v>7556.6431372549023</v>
      </c>
      <c r="L81" s="39">
        <f t="shared" si="25"/>
        <v>-1133.4964705882358</v>
      </c>
      <c r="M81" s="49">
        <v>0.15</v>
      </c>
      <c r="O81" s="48">
        <v>0.25</v>
      </c>
      <c r="P81" s="2">
        <f t="shared" si="29"/>
        <v>6423.1466666666665</v>
      </c>
      <c r="Q81" s="68">
        <f t="shared" si="22"/>
        <v>257</v>
      </c>
      <c r="R81" s="56" t="s">
        <v>44</v>
      </c>
    </row>
    <row r="82" spans="1:21">
      <c r="A82" s="1" t="s">
        <v>154</v>
      </c>
      <c r="B82" s="1" t="s">
        <v>126</v>
      </c>
      <c r="C82" s="5" t="s">
        <v>164</v>
      </c>
      <c r="D82" s="22">
        <f t="shared" si="27"/>
        <v>3733.25</v>
      </c>
      <c r="E82" s="113">
        <v>2</v>
      </c>
      <c r="F82" s="11">
        <v>39461</v>
      </c>
      <c r="G82" s="43">
        <v>23</v>
      </c>
      <c r="H82" s="2">
        <f t="shared" si="28"/>
        <v>115</v>
      </c>
      <c r="I82" s="8">
        <f>3289+198+131.25</f>
        <v>3618.25</v>
      </c>
      <c r="K82" s="2">
        <f t="shared" si="24"/>
        <v>5856.0784313725499</v>
      </c>
      <c r="L82" s="39">
        <f t="shared" si="25"/>
        <v>-878.41176470588289</v>
      </c>
      <c r="M82" s="49">
        <v>0.15</v>
      </c>
      <c r="O82" s="48">
        <v>0.25</v>
      </c>
      <c r="P82" s="2">
        <f t="shared" si="29"/>
        <v>4977.666666666667</v>
      </c>
      <c r="Q82" s="68">
        <f t="shared" si="22"/>
        <v>77</v>
      </c>
      <c r="R82" s="56" t="s">
        <v>44</v>
      </c>
    </row>
    <row r="83" spans="1:21">
      <c r="A83" s="1" t="s">
        <v>155</v>
      </c>
      <c r="B83" s="1" t="s">
        <v>127</v>
      </c>
      <c r="C83" s="5" t="s">
        <v>165</v>
      </c>
      <c r="D83" s="22">
        <f t="shared" si="27"/>
        <v>5628.36</v>
      </c>
      <c r="E83" s="113">
        <v>0.66326530612245005</v>
      </c>
      <c r="F83" s="11">
        <v>39281</v>
      </c>
      <c r="G83" s="43">
        <v>23</v>
      </c>
      <c r="H83" s="2">
        <f t="shared" si="28"/>
        <v>115</v>
      </c>
      <c r="I83" s="8">
        <v>5513.36</v>
      </c>
      <c r="K83" s="2">
        <f t="shared" si="24"/>
        <v>8828.7999999999993</v>
      </c>
      <c r="L83" s="39">
        <f t="shared" si="25"/>
        <v>-1324.3199999999997</v>
      </c>
      <c r="M83" s="49">
        <v>0.15</v>
      </c>
      <c r="O83" s="48">
        <v>0.25</v>
      </c>
      <c r="P83" s="2">
        <f t="shared" si="29"/>
        <v>7504.48</v>
      </c>
      <c r="Q83" s="68">
        <f t="shared" si="22"/>
        <v>257</v>
      </c>
      <c r="R83" s="56" t="s">
        <v>44</v>
      </c>
    </row>
    <row r="84" spans="1:21">
      <c r="A84" s="1" t="s">
        <v>156</v>
      </c>
      <c r="B84" s="1" t="s">
        <v>125</v>
      </c>
      <c r="C84" s="5" t="s">
        <v>166</v>
      </c>
      <c r="D84" s="22">
        <f t="shared" si="27"/>
        <v>5033.3599999999997</v>
      </c>
      <c r="E84" s="113">
        <v>0.66326530612245005</v>
      </c>
      <c r="F84" s="11">
        <v>39279</v>
      </c>
      <c r="G84" s="43">
        <v>24</v>
      </c>
      <c r="H84" s="2">
        <f t="shared" si="28"/>
        <v>120</v>
      </c>
      <c r="I84" s="8">
        <v>4913.3599999999997</v>
      </c>
      <c r="K84" s="2">
        <f t="shared" si="24"/>
        <v>7895.4666666666672</v>
      </c>
      <c r="L84" s="39">
        <f t="shared" si="25"/>
        <v>-1184.3200000000006</v>
      </c>
      <c r="M84" s="49">
        <v>0.15</v>
      </c>
      <c r="O84" s="48">
        <v>0.25</v>
      </c>
      <c r="P84" s="2">
        <f t="shared" si="29"/>
        <v>6711.1466666666665</v>
      </c>
      <c r="Q84" s="68">
        <f t="shared" si="22"/>
        <v>259</v>
      </c>
      <c r="R84" s="56" t="s">
        <v>44</v>
      </c>
    </row>
    <row r="85" spans="1:21">
      <c r="A85" s="1" t="s">
        <v>157</v>
      </c>
      <c r="B85" s="1" t="s">
        <v>126</v>
      </c>
      <c r="C85" s="5" t="s">
        <v>80</v>
      </c>
      <c r="D85" s="22">
        <f t="shared" si="27"/>
        <v>4010.25</v>
      </c>
      <c r="E85" s="113">
        <v>0.66326530612245005</v>
      </c>
      <c r="F85" s="11">
        <v>39483</v>
      </c>
      <c r="G85" s="43">
        <v>26</v>
      </c>
      <c r="H85" s="2">
        <f t="shared" si="28"/>
        <v>130</v>
      </c>
      <c r="I85" s="8">
        <f>3749+131.25</f>
        <v>3880.25</v>
      </c>
      <c r="K85" s="2">
        <f t="shared" si="24"/>
        <v>6290.588235294118</v>
      </c>
      <c r="L85" s="39">
        <f t="shared" si="25"/>
        <v>-943.58823529411802</v>
      </c>
      <c r="M85" s="49">
        <v>0.15</v>
      </c>
      <c r="O85" s="48">
        <v>0.25</v>
      </c>
      <c r="P85" s="2">
        <f t="shared" si="29"/>
        <v>5347</v>
      </c>
      <c r="Q85" s="68">
        <f t="shared" si="22"/>
        <v>55</v>
      </c>
      <c r="R85" s="56" t="s">
        <v>44</v>
      </c>
    </row>
    <row r="86" spans="1:21">
      <c r="A86" s="1" t="s">
        <v>158</v>
      </c>
      <c r="B86" s="1" t="s">
        <v>127</v>
      </c>
      <c r="C86" s="5" t="s">
        <v>167</v>
      </c>
      <c r="D86" s="22">
        <f t="shared" si="27"/>
        <v>6995.2</v>
      </c>
      <c r="E86" s="113">
        <v>0.66326530612245005</v>
      </c>
      <c r="F86" s="10">
        <v>39364</v>
      </c>
      <c r="G86" s="43">
        <v>35</v>
      </c>
      <c r="H86" s="2">
        <f t="shared" si="28"/>
        <v>175</v>
      </c>
      <c r="I86" s="8">
        <v>6820.2</v>
      </c>
      <c r="K86" s="2">
        <f t="shared" si="24"/>
        <v>10972.862745098038</v>
      </c>
      <c r="L86" s="39">
        <f t="shared" si="25"/>
        <v>-1645.9294117647059</v>
      </c>
      <c r="M86" s="49">
        <v>0.15</v>
      </c>
      <c r="O86" s="48">
        <v>0.25</v>
      </c>
      <c r="P86" s="2">
        <f t="shared" si="29"/>
        <v>9326.9333333333325</v>
      </c>
      <c r="Q86" s="68">
        <f t="shared" si="22"/>
        <v>174</v>
      </c>
      <c r="R86" s="56" t="s">
        <v>44</v>
      </c>
      <c r="U86" s="4"/>
    </row>
    <row r="87" spans="1:21" s="4" customFormat="1">
      <c r="A87" s="7"/>
      <c r="C87" s="7"/>
      <c r="D87" s="22"/>
      <c r="E87" s="2"/>
      <c r="F87" s="11"/>
      <c r="G87" s="43"/>
      <c r="H87" s="2"/>
      <c r="I87" s="8"/>
      <c r="J87" s="2"/>
      <c r="K87" s="2"/>
      <c r="L87" s="39"/>
      <c r="M87" s="49"/>
      <c r="N87" s="2"/>
      <c r="O87" s="48"/>
      <c r="P87" s="2"/>
      <c r="Q87" s="68"/>
      <c r="R87" s="56"/>
      <c r="S87" s="8"/>
      <c r="T87" s="8"/>
    </row>
    <row r="88" spans="1:21" s="4" customFormat="1">
      <c r="A88" s="23" t="s">
        <v>4</v>
      </c>
      <c r="B88" s="9"/>
      <c r="C88" s="40"/>
      <c r="D88" s="22"/>
      <c r="E88" s="2"/>
      <c r="F88" s="11"/>
      <c r="G88" s="43"/>
      <c r="H88" s="2"/>
      <c r="I88" s="32"/>
      <c r="J88" s="2"/>
      <c r="K88" s="2"/>
      <c r="L88" s="39"/>
      <c r="M88" s="49"/>
      <c r="N88" s="2"/>
      <c r="O88" s="48"/>
      <c r="P88" s="2"/>
      <c r="Q88" s="68"/>
      <c r="R88" s="56"/>
      <c r="S88" s="8"/>
      <c r="T88" s="8"/>
    </row>
    <row r="89" spans="1:21" s="4" customFormat="1">
      <c r="A89" s="7" t="s">
        <v>5</v>
      </c>
      <c r="B89" s="1" t="s">
        <v>126</v>
      </c>
      <c r="C89" s="7">
        <v>17</v>
      </c>
      <c r="D89" s="22">
        <f>SUM(H89+I89+J89)</f>
        <v>1585</v>
      </c>
      <c r="E89" s="113">
        <v>0.66326530612245005</v>
      </c>
      <c r="F89" s="10">
        <v>39350</v>
      </c>
      <c r="G89" s="43">
        <v>17</v>
      </c>
      <c r="H89" s="2">
        <f>SUM(G89*$H$61)</f>
        <v>85</v>
      </c>
      <c r="I89" s="8">
        <v>1500</v>
      </c>
      <c r="J89" s="2"/>
      <c r="K89" s="2">
        <f t="shared" si="24"/>
        <v>2486.2745098039218</v>
      </c>
      <c r="L89" s="39">
        <f t="shared" si="25"/>
        <v>-372.94117647058829</v>
      </c>
      <c r="M89" s="49">
        <v>0.15</v>
      </c>
      <c r="N89" s="2"/>
      <c r="O89" s="48">
        <v>0.25</v>
      </c>
      <c r="P89" s="2">
        <f>(+D89/(1-O89))+$P$62</f>
        <v>2113.3333333333335</v>
      </c>
      <c r="Q89" s="68">
        <f t="shared" si="22"/>
        <v>188</v>
      </c>
      <c r="R89" s="56" t="s">
        <v>44</v>
      </c>
      <c r="S89" s="8"/>
      <c r="T89" s="8"/>
    </row>
    <row r="90" spans="1:21">
      <c r="A90" s="60" t="s">
        <v>159</v>
      </c>
      <c r="B90" s="1" t="s">
        <v>127</v>
      </c>
      <c r="C90" s="5">
        <v>28</v>
      </c>
      <c r="D90" s="22">
        <f>SUM(H90+I90+J90)</f>
        <v>4140</v>
      </c>
      <c r="E90" s="113">
        <v>0.66326530612245005</v>
      </c>
      <c r="F90" s="11">
        <v>39245</v>
      </c>
      <c r="G90" s="43">
        <v>28</v>
      </c>
      <c r="H90" s="2">
        <f>SUM(G90*$H$61)</f>
        <v>140</v>
      </c>
      <c r="I90" s="2">
        <v>4000</v>
      </c>
      <c r="K90" s="2">
        <f t="shared" si="24"/>
        <v>6494.1176470588234</v>
      </c>
      <c r="L90" s="39">
        <f t="shared" si="25"/>
        <v>-974.11764705882342</v>
      </c>
      <c r="M90" s="49">
        <v>0.15</v>
      </c>
      <c r="O90" s="48">
        <v>0.25</v>
      </c>
      <c r="P90" s="2">
        <f>(+D90/(1-O90))+$P$62</f>
        <v>5520</v>
      </c>
      <c r="Q90" s="68">
        <f t="shared" si="22"/>
        <v>293</v>
      </c>
      <c r="R90" s="56" t="s">
        <v>44</v>
      </c>
      <c r="U90" s="4"/>
    </row>
    <row r="91" spans="1:21">
      <c r="A91" s="7" t="s">
        <v>9</v>
      </c>
      <c r="B91" s="1" t="s">
        <v>125</v>
      </c>
      <c r="C91" s="7">
        <v>23</v>
      </c>
      <c r="D91" s="22">
        <f>SUM(H91+I91+J91)</f>
        <v>3615</v>
      </c>
      <c r="E91" s="113">
        <v>0.66326530612245005</v>
      </c>
      <c r="F91" s="11">
        <v>39281</v>
      </c>
      <c r="G91" s="43">
        <v>23</v>
      </c>
      <c r="H91" s="2">
        <f>SUM(G91*$H$61)</f>
        <v>115</v>
      </c>
      <c r="I91" s="8">
        <v>3500</v>
      </c>
      <c r="K91" s="2">
        <f t="shared" si="24"/>
        <v>5670.588235294118</v>
      </c>
      <c r="L91" s="39">
        <f t="shared" si="25"/>
        <v>-850.58823529411802</v>
      </c>
      <c r="M91" s="49">
        <v>0.15</v>
      </c>
      <c r="O91" s="48">
        <v>0.25</v>
      </c>
      <c r="P91" s="2">
        <f>(+D91/(1-O91))+$P$62</f>
        <v>4820</v>
      </c>
      <c r="Q91" s="68">
        <f t="shared" si="22"/>
        <v>257</v>
      </c>
      <c r="R91" s="56" t="s">
        <v>44</v>
      </c>
      <c r="S91" s="8"/>
      <c r="T91" s="8"/>
      <c r="U91" s="4"/>
    </row>
    <row r="92" spans="1:21" hidden="1">
      <c r="A92" s="7"/>
      <c r="C92" s="7"/>
      <c r="D92" s="21"/>
      <c r="F92" s="11">
        <v>39461</v>
      </c>
      <c r="G92" s="43"/>
      <c r="H92" s="8"/>
      <c r="I92" s="8"/>
      <c r="J92" s="8"/>
      <c r="K92" s="8"/>
      <c r="L92" s="8"/>
      <c r="M92" s="51"/>
      <c r="N92" s="8"/>
      <c r="O92" s="51"/>
      <c r="P92" s="8"/>
      <c r="Q92" s="58"/>
      <c r="R92" s="58"/>
      <c r="S92" s="8"/>
      <c r="T92" s="8"/>
      <c r="U92" s="4"/>
    </row>
    <row r="93" spans="1:21" hidden="1">
      <c r="A93" s="7"/>
      <c r="C93" s="7"/>
      <c r="F93" s="11">
        <v>39281</v>
      </c>
      <c r="G93" s="43"/>
      <c r="H93" s="8"/>
      <c r="I93" s="8"/>
      <c r="J93" s="8"/>
      <c r="K93" s="8"/>
      <c r="L93" s="8"/>
      <c r="M93" s="51"/>
      <c r="N93" s="8"/>
      <c r="O93" s="51"/>
      <c r="P93" s="8"/>
      <c r="Q93" s="58"/>
      <c r="R93" s="58"/>
      <c r="S93" s="8"/>
      <c r="T93" s="8"/>
      <c r="U93" s="4"/>
    </row>
    <row r="94" spans="1:21" ht="14" hidden="1" thickBot="1">
      <c r="A94" s="7" t="s">
        <v>6</v>
      </c>
      <c r="C94" s="7"/>
      <c r="D94" s="17">
        <f>SUM(D63:D91)</f>
        <v>93459.66</v>
      </c>
      <c r="E94" s="14"/>
      <c r="F94" s="11">
        <v>39279</v>
      </c>
      <c r="U94" s="4"/>
    </row>
    <row r="95" spans="1:21" hidden="1">
      <c r="C95" s="5"/>
      <c r="F95" s="11">
        <v>39483</v>
      </c>
    </row>
    <row r="96" spans="1:21" hidden="1">
      <c r="C96" s="5"/>
      <c r="F96" s="10">
        <v>39364</v>
      </c>
    </row>
    <row r="97" spans="1:18" hidden="1">
      <c r="C97" s="5"/>
      <c r="F97" s="11">
        <v>38934</v>
      </c>
    </row>
    <row r="98" spans="1:18">
      <c r="C98" s="5"/>
    </row>
    <row r="102" spans="1:18" ht="34.5" customHeight="1">
      <c r="A102" s="173" t="s">
        <v>276</v>
      </c>
      <c r="B102" s="174"/>
      <c r="C102" s="174"/>
      <c r="D102" s="174"/>
      <c r="E102" s="174"/>
      <c r="F102" s="174"/>
      <c r="G102" s="174"/>
      <c r="H102" s="174"/>
      <c r="I102" s="174"/>
      <c r="J102" s="174"/>
      <c r="K102" s="174"/>
      <c r="L102" s="174"/>
      <c r="M102" s="174"/>
      <c r="N102" s="174"/>
      <c r="O102" s="174"/>
      <c r="P102" s="174"/>
      <c r="Q102" s="174"/>
      <c r="R102" s="174"/>
    </row>
  </sheetData>
  <mergeCells count="2">
    <mergeCell ref="A27:B27"/>
    <mergeCell ref="A102:R102"/>
  </mergeCells>
  <phoneticPr fontId="0" type="noConversion"/>
  <conditionalFormatting sqref="Q64:Q91 Q37:Q52 Q8:Q25">
    <cfRule type="cellIs" dxfId="8" priority="4" stopIfTrue="1" operator="between">
      <formula>180</formula>
      <formula>240</formula>
    </cfRule>
    <cfRule type="cellIs" dxfId="7" priority="5" stopIfTrue="1" operator="between">
      <formula>241</formula>
      <formula>365</formula>
    </cfRule>
    <cfRule type="cellIs" dxfId="6" priority="6" stopIfTrue="1" operator="between">
      <formula>366</formula>
      <formula>2000</formula>
    </cfRule>
  </conditionalFormatting>
  <conditionalFormatting sqref="Q53">
    <cfRule type="cellIs" dxfId="5" priority="1" stopIfTrue="1" operator="between">
      <formula>241</formula>
      <formula>365</formula>
    </cfRule>
    <cfRule type="cellIs" dxfId="4" priority="2" stopIfTrue="1" operator="between">
      <formula>366</formula>
      <formula>545</formula>
    </cfRule>
    <cfRule type="cellIs" dxfId="3" priority="3" stopIfTrue="1" operator="between">
      <formula>546</formula>
      <formula>10000</formula>
    </cfRule>
  </conditionalFormatting>
  <printOptions horizontalCentered="1" gridLines="1"/>
  <pageMargins left="0" right="0" top="0" bottom="0" header="0" footer="0"/>
  <pageSetup scale="45" fitToHeight="2" orientation="landscape" horizontalDpi="4294967293" verticalDpi="300"/>
  <headerFooter alignWithMargins="0"/>
  <rowBreaks count="2" manualBreakCount="2">
    <brk id="30" max="20" man="1"/>
    <brk id="56" max="20" man="1"/>
  </row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T109"/>
  <sheetViews>
    <sheetView zoomScale="90" zoomScaleNormal="90" zoomScalePageLayoutView="90" workbookViewId="0">
      <selection activeCell="N86" sqref="N86"/>
    </sheetView>
  </sheetViews>
  <sheetFormatPr baseColWidth="10" defaultColWidth="33.5" defaultRowHeight="12" x14ac:dyDescent="0"/>
  <cols>
    <col min="1" max="1" width="25.83203125" customWidth="1"/>
    <col min="2" max="2" width="20" customWidth="1"/>
    <col min="3" max="3" width="14.33203125" customWidth="1"/>
    <col min="4" max="4" width="14" customWidth="1"/>
    <col min="5" max="5" width="9.33203125" customWidth="1"/>
    <col min="6" max="6" width="14.1640625" customWidth="1"/>
    <col min="7" max="7" width="8.5" customWidth="1"/>
    <col min="8" max="8" width="14" customWidth="1"/>
    <col min="9" max="9" width="17.83203125" customWidth="1"/>
    <col min="10" max="10" width="12.83203125" customWidth="1"/>
    <col min="11" max="11" width="15.83203125" customWidth="1"/>
    <col min="12" max="12" width="16" customWidth="1"/>
    <col min="13" max="13" width="18" customWidth="1"/>
    <col min="14" max="14" width="16.33203125" customWidth="1"/>
    <col min="15" max="15" width="14.6640625" customWidth="1"/>
    <col min="16" max="16" width="15.1640625" customWidth="1"/>
    <col min="17" max="17" width="11.33203125" customWidth="1"/>
    <col min="18" max="18" width="14.33203125" customWidth="1"/>
    <col min="19" max="19" width="21.1640625" customWidth="1"/>
  </cols>
  <sheetData>
    <row r="1" spans="1:20" ht="26" customHeight="1">
      <c r="A1" s="36" t="s">
        <v>72</v>
      </c>
      <c r="B1" s="175" t="s">
        <v>306</v>
      </c>
      <c r="C1" s="175"/>
      <c r="D1" s="175"/>
      <c r="E1" s="175"/>
      <c r="F1" s="175"/>
      <c r="G1" s="175"/>
      <c r="H1" s="175"/>
      <c r="I1" s="175"/>
      <c r="J1" s="175"/>
      <c r="K1" s="175"/>
      <c r="L1" s="175"/>
      <c r="M1" s="175"/>
      <c r="N1" s="175"/>
      <c r="O1" s="175"/>
      <c r="P1" s="175"/>
      <c r="Q1" s="175"/>
      <c r="R1" s="175"/>
      <c r="S1" s="33"/>
      <c r="T1" s="33"/>
    </row>
    <row r="2" spans="1:20" ht="13">
      <c r="A2" s="37">
        <f ca="1">TODAY()</f>
        <v>41278</v>
      </c>
      <c r="B2" s="66" t="s">
        <v>112</v>
      </c>
      <c r="C2" s="34"/>
      <c r="D2" s="34"/>
      <c r="E2" s="34"/>
      <c r="F2" s="34"/>
      <c r="G2" s="41"/>
      <c r="H2" s="34"/>
      <c r="I2" s="34"/>
      <c r="J2" s="34"/>
      <c r="K2" s="34"/>
      <c r="L2" s="34"/>
      <c r="M2" s="46"/>
      <c r="N2" s="34"/>
      <c r="O2" s="46"/>
      <c r="P2" s="34"/>
      <c r="Q2" s="69" t="s">
        <v>106</v>
      </c>
      <c r="R2" s="53"/>
      <c r="S2" s="34"/>
      <c r="T2" s="34"/>
    </row>
    <row r="3" spans="1:20" ht="13">
      <c r="A3" s="144" t="s">
        <v>1</v>
      </c>
      <c r="B3" s="10"/>
      <c r="C3" s="1"/>
      <c r="D3" s="8"/>
      <c r="E3" s="8"/>
      <c r="F3" s="1"/>
      <c r="G3" s="26"/>
      <c r="H3" s="2"/>
      <c r="I3" s="2"/>
      <c r="J3" s="2"/>
      <c r="K3" s="67" t="s">
        <v>113</v>
      </c>
      <c r="L3" s="2"/>
      <c r="M3" s="45"/>
      <c r="N3" s="2"/>
      <c r="O3" s="49"/>
      <c r="P3" s="2"/>
      <c r="Q3" s="62" t="s">
        <v>111</v>
      </c>
      <c r="R3" s="54"/>
      <c r="S3" s="1"/>
      <c r="T3" s="1"/>
    </row>
    <row r="4" spans="1:20" ht="64.5" customHeight="1">
      <c r="A4" s="12" t="s">
        <v>247</v>
      </c>
      <c r="B4" s="96" t="s">
        <v>248</v>
      </c>
      <c r="C4" s="96" t="s">
        <v>239</v>
      </c>
      <c r="D4" s="101" t="s">
        <v>270</v>
      </c>
      <c r="E4" s="101" t="s">
        <v>250</v>
      </c>
      <c r="F4" s="96" t="s">
        <v>271</v>
      </c>
      <c r="G4" s="28" t="s">
        <v>268</v>
      </c>
      <c r="H4" s="99" t="s">
        <v>253</v>
      </c>
      <c r="I4" s="101" t="s">
        <v>272</v>
      </c>
      <c r="J4" s="101" t="s">
        <v>254</v>
      </c>
      <c r="K4" s="101" t="s">
        <v>265</v>
      </c>
      <c r="L4" s="101" t="s">
        <v>273</v>
      </c>
      <c r="M4" s="114" t="s">
        <v>257</v>
      </c>
      <c r="N4" s="101" t="s">
        <v>258</v>
      </c>
      <c r="O4" s="114" t="s">
        <v>274</v>
      </c>
      <c r="P4" s="102" t="s">
        <v>260</v>
      </c>
      <c r="Q4" s="96" t="s">
        <v>266</v>
      </c>
      <c r="R4" s="12" t="s">
        <v>262</v>
      </c>
      <c r="S4" s="1"/>
      <c r="T4" s="1"/>
    </row>
    <row r="5" spans="1:20" ht="17.25" customHeight="1">
      <c r="A5" s="35"/>
      <c r="B5" s="35"/>
      <c r="C5" s="35"/>
      <c r="D5" s="35"/>
      <c r="E5" s="35"/>
      <c r="F5" s="35"/>
      <c r="G5" s="42"/>
      <c r="H5" s="112">
        <v>40</v>
      </c>
      <c r="I5" s="35"/>
      <c r="J5" s="35"/>
      <c r="K5" s="35"/>
      <c r="L5" s="35"/>
      <c r="M5" s="35"/>
      <c r="N5" s="35"/>
      <c r="O5" s="35"/>
      <c r="P5" s="127" t="s">
        <v>203</v>
      </c>
      <c r="Q5" s="136"/>
      <c r="R5" s="134"/>
      <c r="S5" s="1"/>
      <c r="T5" s="1"/>
    </row>
    <row r="6" spans="1:20" ht="13">
      <c r="A6" s="36"/>
      <c r="B6" s="36"/>
      <c r="C6" s="36"/>
      <c r="D6" s="36"/>
      <c r="E6" s="36"/>
      <c r="F6" s="36"/>
      <c r="G6" s="132"/>
      <c r="H6" s="111" t="s">
        <v>211</v>
      </c>
      <c r="I6" s="36"/>
      <c r="J6" s="36"/>
      <c r="K6" s="36"/>
      <c r="L6" s="36"/>
      <c r="M6" s="36"/>
      <c r="N6" s="36"/>
      <c r="O6" s="36"/>
      <c r="P6" s="137">
        <v>2000</v>
      </c>
      <c r="Q6" s="133"/>
      <c r="R6" s="133"/>
      <c r="S6" s="1"/>
      <c r="T6" s="1"/>
    </row>
    <row r="7" spans="1:20" ht="13">
      <c r="A7" s="20" t="s">
        <v>70</v>
      </c>
      <c r="B7" s="4"/>
      <c r="C7" s="4"/>
      <c r="D7" s="21"/>
      <c r="E7" s="8"/>
      <c r="F7" s="4"/>
      <c r="G7" s="26"/>
      <c r="I7" s="8"/>
      <c r="J7" s="2"/>
      <c r="K7" s="67"/>
      <c r="L7" s="39"/>
      <c r="M7" s="48"/>
      <c r="N7" s="2"/>
      <c r="O7" s="49"/>
      <c r="Q7" s="68"/>
      <c r="R7" s="54"/>
    </row>
    <row r="8" spans="1:20" ht="13">
      <c r="A8" s="59" t="s">
        <v>168</v>
      </c>
      <c r="B8" s="4" t="s">
        <v>169</v>
      </c>
      <c r="C8" s="4" t="s">
        <v>59</v>
      </c>
      <c r="D8" s="21" t="e">
        <f t="shared" ref="D8:D16" si="0">SUM(H8+I8+J8)</f>
        <v>#VALUE!</v>
      </c>
      <c r="E8" s="8" t="s">
        <v>13</v>
      </c>
      <c r="F8" s="10" t="s">
        <v>170</v>
      </c>
      <c r="G8" s="26" t="s">
        <v>14</v>
      </c>
      <c r="H8" s="2" t="e">
        <f>SUM(G8*$H$5)</f>
        <v>#VALUE!</v>
      </c>
      <c r="I8" s="8" t="s">
        <v>171</v>
      </c>
      <c r="J8" s="2"/>
      <c r="K8" s="2" t="s">
        <v>173</v>
      </c>
      <c r="L8" s="39" t="e">
        <f>-K8*M8</f>
        <v>#VALUE!</v>
      </c>
      <c r="M8" s="48" t="s">
        <v>174</v>
      </c>
      <c r="N8" s="2" t="e">
        <f t="shared" ref="N8:N14" si="1">+K8+L8</f>
        <v>#VALUE!</v>
      </c>
      <c r="O8" s="48" t="s">
        <v>311</v>
      </c>
      <c r="P8" s="135" t="e">
        <f>(+D8/(1-O8))+$P$6</f>
        <v>#VALUE!</v>
      </c>
      <c r="Q8" s="68" t="e">
        <f t="shared" ref="Q8:Q16" ca="1" si="2">$A$2-F8</f>
        <v>#VALUE!</v>
      </c>
      <c r="R8" s="56" t="s">
        <v>105</v>
      </c>
      <c r="S8" s="115" t="s">
        <v>212</v>
      </c>
      <c r="T8" s="19" t="s">
        <v>201</v>
      </c>
    </row>
    <row r="9" spans="1:20" ht="13">
      <c r="A9" s="59" t="s">
        <v>168</v>
      </c>
      <c r="B9" s="4" t="s">
        <v>169</v>
      </c>
      <c r="C9" s="4" t="s">
        <v>59</v>
      </c>
      <c r="D9" s="21" t="e">
        <f t="shared" si="0"/>
        <v>#VALUE!</v>
      </c>
      <c r="E9" s="8" t="s">
        <v>13</v>
      </c>
      <c r="F9" s="10" t="s">
        <v>170</v>
      </c>
      <c r="G9" s="26" t="s">
        <v>14</v>
      </c>
      <c r="H9" s="2" t="e">
        <f t="shared" ref="H9:H16" si="3">SUM(G9*$H$5)</f>
        <v>#VALUE!</v>
      </c>
      <c r="I9" s="8" t="s">
        <v>171</v>
      </c>
      <c r="J9" s="2"/>
      <c r="K9" s="2" t="s">
        <v>173</v>
      </c>
      <c r="L9" s="39" t="e">
        <f t="shared" ref="L9:L16" si="4">-K9*M9</f>
        <v>#VALUE!</v>
      </c>
      <c r="M9" s="48" t="s">
        <v>174</v>
      </c>
      <c r="N9" s="2" t="e">
        <f t="shared" si="1"/>
        <v>#VALUE!</v>
      </c>
      <c r="O9" s="48" t="s">
        <v>311</v>
      </c>
      <c r="P9" s="135" t="e">
        <f t="shared" ref="P9:P16" si="5">(+D9/(1-O9))+$P$6</f>
        <v>#VALUE!</v>
      </c>
      <c r="Q9" s="68" t="e">
        <f t="shared" ca="1" si="2"/>
        <v>#VALUE!</v>
      </c>
      <c r="R9" s="56" t="s">
        <v>105</v>
      </c>
      <c r="S9" s="1" t="s">
        <v>110</v>
      </c>
      <c r="T9" s="1" t="s">
        <v>197</v>
      </c>
    </row>
    <row r="10" spans="1:20" ht="13">
      <c r="A10" s="59" t="s">
        <v>168</v>
      </c>
      <c r="B10" s="4" t="s">
        <v>169</v>
      </c>
      <c r="C10" s="4" t="s">
        <v>59</v>
      </c>
      <c r="D10" s="21" t="e">
        <f t="shared" si="0"/>
        <v>#VALUE!</v>
      </c>
      <c r="E10" s="8" t="s">
        <v>13</v>
      </c>
      <c r="F10" s="10" t="s">
        <v>170</v>
      </c>
      <c r="G10" s="26" t="s">
        <v>14</v>
      </c>
      <c r="H10" s="2" t="e">
        <f t="shared" si="3"/>
        <v>#VALUE!</v>
      </c>
      <c r="I10" s="8" t="s">
        <v>171</v>
      </c>
      <c r="J10" s="2"/>
      <c r="K10" s="2" t="s">
        <v>173</v>
      </c>
      <c r="L10" s="39" t="e">
        <f t="shared" si="4"/>
        <v>#VALUE!</v>
      </c>
      <c r="M10" s="48" t="s">
        <v>174</v>
      </c>
      <c r="N10" s="2" t="e">
        <f t="shared" si="1"/>
        <v>#VALUE!</v>
      </c>
      <c r="O10" s="48" t="s">
        <v>311</v>
      </c>
      <c r="P10" s="135" t="e">
        <f t="shared" si="5"/>
        <v>#VALUE!</v>
      </c>
      <c r="Q10" s="68" t="e">
        <f t="shared" ca="1" si="2"/>
        <v>#VALUE!</v>
      </c>
      <c r="R10" s="56" t="s">
        <v>105</v>
      </c>
      <c r="S10" s="63" t="s">
        <v>107</v>
      </c>
      <c r="T10" s="60" t="s">
        <v>199</v>
      </c>
    </row>
    <row r="11" spans="1:20" ht="13">
      <c r="A11" s="59" t="s">
        <v>168</v>
      </c>
      <c r="B11" s="4" t="s">
        <v>169</v>
      </c>
      <c r="C11" s="4" t="s">
        <v>59</v>
      </c>
      <c r="D11" s="21" t="e">
        <f t="shared" si="0"/>
        <v>#VALUE!</v>
      </c>
      <c r="E11" s="8" t="s">
        <v>13</v>
      </c>
      <c r="F11" s="10" t="s">
        <v>170</v>
      </c>
      <c r="G11" s="26" t="s">
        <v>14</v>
      </c>
      <c r="H11" s="2" t="e">
        <f t="shared" si="3"/>
        <v>#VALUE!</v>
      </c>
      <c r="I11" s="8" t="s">
        <v>171</v>
      </c>
      <c r="J11" s="2"/>
      <c r="K11" s="2" t="s">
        <v>173</v>
      </c>
      <c r="L11" s="39" t="e">
        <f t="shared" si="4"/>
        <v>#VALUE!</v>
      </c>
      <c r="M11" s="48" t="s">
        <v>174</v>
      </c>
      <c r="N11" s="2" t="e">
        <f t="shared" si="1"/>
        <v>#VALUE!</v>
      </c>
      <c r="O11" s="48" t="s">
        <v>311</v>
      </c>
      <c r="P11" s="135" t="e">
        <f t="shared" si="5"/>
        <v>#VALUE!</v>
      </c>
      <c r="Q11" s="68" t="e">
        <f t="shared" ca="1" si="2"/>
        <v>#VALUE!</v>
      </c>
      <c r="R11" s="56" t="s">
        <v>105</v>
      </c>
      <c r="S11" s="64" t="s">
        <v>108</v>
      </c>
      <c r="T11" s="60" t="s">
        <v>198</v>
      </c>
    </row>
    <row r="12" spans="1:20" ht="13">
      <c r="A12" s="59" t="s">
        <v>168</v>
      </c>
      <c r="B12" s="4" t="s">
        <v>169</v>
      </c>
      <c r="C12" s="4" t="s">
        <v>59</v>
      </c>
      <c r="D12" s="21" t="e">
        <f t="shared" si="0"/>
        <v>#VALUE!</v>
      </c>
      <c r="E12" s="8" t="s">
        <v>13</v>
      </c>
      <c r="F12" s="10" t="s">
        <v>170</v>
      </c>
      <c r="G12" s="26" t="s">
        <v>14</v>
      </c>
      <c r="H12" s="2" t="e">
        <f t="shared" si="3"/>
        <v>#VALUE!</v>
      </c>
      <c r="I12" s="8" t="s">
        <v>171</v>
      </c>
      <c r="J12" s="2"/>
      <c r="K12" s="2" t="s">
        <v>173</v>
      </c>
      <c r="L12" s="39" t="e">
        <f t="shared" si="4"/>
        <v>#VALUE!</v>
      </c>
      <c r="M12" s="48" t="s">
        <v>174</v>
      </c>
      <c r="N12" s="2" t="e">
        <f t="shared" si="1"/>
        <v>#VALUE!</v>
      </c>
      <c r="O12" s="48" t="s">
        <v>311</v>
      </c>
      <c r="P12" s="135" t="e">
        <f t="shared" si="5"/>
        <v>#VALUE!</v>
      </c>
      <c r="Q12" s="68" t="e">
        <f t="shared" ca="1" si="2"/>
        <v>#VALUE!</v>
      </c>
      <c r="R12" s="56" t="s">
        <v>105</v>
      </c>
      <c r="S12" s="65" t="s">
        <v>109</v>
      </c>
      <c r="T12" s="60" t="s">
        <v>200</v>
      </c>
    </row>
    <row r="13" spans="1:20" ht="13">
      <c r="A13" s="59" t="s">
        <v>168</v>
      </c>
      <c r="B13" s="4" t="s">
        <v>169</v>
      </c>
      <c r="C13" s="4" t="s">
        <v>59</v>
      </c>
      <c r="D13" s="21" t="e">
        <f>SUM(H13+I13+J13)</f>
        <v>#VALUE!</v>
      </c>
      <c r="E13" s="8" t="s">
        <v>13</v>
      </c>
      <c r="F13" s="10" t="s">
        <v>170</v>
      </c>
      <c r="G13" s="26" t="s">
        <v>14</v>
      </c>
      <c r="H13" s="2" t="e">
        <f t="shared" si="3"/>
        <v>#VALUE!</v>
      </c>
      <c r="I13" s="8" t="s">
        <v>171</v>
      </c>
      <c r="J13" s="2"/>
      <c r="K13" s="2" t="s">
        <v>173</v>
      </c>
      <c r="L13" s="39" t="e">
        <f t="shared" si="4"/>
        <v>#VALUE!</v>
      </c>
      <c r="M13" s="48" t="s">
        <v>174</v>
      </c>
      <c r="N13" s="2" t="e">
        <f t="shared" si="1"/>
        <v>#VALUE!</v>
      </c>
      <c r="O13" s="48" t="s">
        <v>311</v>
      </c>
      <c r="P13" s="135" t="e">
        <f t="shared" si="5"/>
        <v>#VALUE!</v>
      </c>
      <c r="Q13" s="68" t="e">
        <f t="shared" ca="1" si="2"/>
        <v>#VALUE!</v>
      </c>
      <c r="R13" s="56" t="s">
        <v>105</v>
      </c>
      <c r="S13" s="1"/>
      <c r="T13" s="104" t="s">
        <v>202</v>
      </c>
    </row>
    <row r="14" spans="1:20" ht="13">
      <c r="A14" s="59" t="s">
        <v>168</v>
      </c>
      <c r="B14" s="4" t="s">
        <v>169</v>
      </c>
      <c r="C14" s="4" t="s">
        <v>59</v>
      </c>
      <c r="D14" s="21" t="e">
        <f>SUM(H14+I14+J14)</f>
        <v>#VALUE!</v>
      </c>
      <c r="E14" s="8" t="s">
        <v>13</v>
      </c>
      <c r="F14" s="10" t="s">
        <v>170</v>
      </c>
      <c r="G14" s="26" t="s">
        <v>14</v>
      </c>
      <c r="H14" s="2" t="e">
        <f t="shared" si="3"/>
        <v>#VALUE!</v>
      </c>
      <c r="I14" s="8" t="s">
        <v>171</v>
      </c>
      <c r="J14" s="2"/>
      <c r="K14" s="2" t="s">
        <v>173</v>
      </c>
      <c r="L14" s="39" t="e">
        <f t="shared" si="4"/>
        <v>#VALUE!</v>
      </c>
      <c r="M14" s="48" t="s">
        <v>174</v>
      </c>
      <c r="N14" s="2" t="e">
        <f t="shared" si="1"/>
        <v>#VALUE!</v>
      </c>
      <c r="O14" s="48" t="s">
        <v>311</v>
      </c>
      <c r="P14" s="135" t="e">
        <f t="shared" si="5"/>
        <v>#VALUE!</v>
      </c>
      <c r="Q14" s="68" t="e">
        <f t="shared" ca="1" si="2"/>
        <v>#VALUE!</v>
      </c>
      <c r="R14" s="56" t="s">
        <v>105</v>
      </c>
      <c r="S14" s="1"/>
      <c r="T14" s="1"/>
    </row>
    <row r="15" spans="1:20" ht="13">
      <c r="A15" s="59" t="s">
        <v>168</v>
      </c>
      <c r="B15" s="4" t="s">
        <v>169</v>
      </c>
      <c r="C15" s="4" t="s">
        <v>59</v>
      </c>
      <c r="D15" s="21" t="e">
        <f>SUM(H15+I15+J15)</f>
        <v>#VALUE!</v>
      </c>
      <c r="E15" s="8" t="s">
        <v>13</v>
      </c>
      <c r="F15" s="10" t="s">
        <v>170</v>
      </c>
      <c r="G15" s="26" t="s">
        <v>14</v>
      </c>
      <c r="H15" s="2" t="e">
        <f t="shared" si="3"/>
        <v>#VALUE!</v>
      </c>
      <c r="I15" s="8" t="s">
        <v>171</v>
      </c>
      <c r="J15" s="2"/>
      <c r="K15" s="2" t="s">
        <v>173</v>
      </c>
      <c r="L15" s="39" t="e">
        <f t="shared" si="4"/>
        <v>#VALUE!</v>
      </c>
      <c r="M15" s="48" t="s">
        <v>174</v>
      </c>
      <c r="N15" s="2" t="e">
        <f>+K15+L15</f>
        <v>#VALUE!</v>
      </c>
      <c r="O15" s="48" t="s">
        <v>311</v>
      </c>
      <c r="P15" s="135" t="e">
        <f t="shared" si="5"/>
        <v>#VALUE!</v>
      </c>
      <c r="Q15" s="68" t="e">
        <f t="shared" ca="1" si="2"/>
        <v>#VALUE!</v>
      </c>
      <c r="R15" s="56" t="s">
        <v>105</v>
      </c>
      <c r="S15" s="1"/>
      <c r="T15" s="1"/>
    </row>
    <row r="16" spans="1:20" ht="13">
      <c r="A16" s="59" t="s">
        <v>168</v>
      </c>
      <c r="B16" s="4" t="s">
        <v>169</v>
      </c>
      <c r="C16" s="4" t="s">
        <v>59</v>
      </c>
      <c r="D16" s="21" t="e">
        <f t="shared" si="0"/>
        <v>#VALUE!</v>
      </c>
      <c r="E16" s="8" t="s">
        <v>13</v>
      </c>
      <c r="F16" s="10" t="s">
        <v>170</v>
      </c>
      <c r="G16" s="26" t="s">
        <v>14</v>
      </c>
      <c r="H16" s="2" t="e">
        <f t="shared" si="3"/>
        <v>#VALUE!</v>
      </c>
      <c r="I16" s="8" t="s">
        <v>171</v>
      </c>
      <c r="J16" s="2"/>
      <c r="K16" s="2" t="s">
        <v>173</v>
      </c>
      <c r="L16" s="39" t="e">
        <f t="shared" si="4"/>
        <v>#VALUE!</v>
      </c>
      <c r="M16" s="48" t="s">
        <v>174</v>
      </c>
      <c r="N16" s="2" t="e">
        <f>+K16+L16</f>
        <v>#VALUE!</v>
      </c>
      <c r="O16" s="48" t="s">
        <v>311</v>
      </c>
      <c r="P16" s="135" t="e">
        <f t="shared" si="5"/>
        <v>#VALUE!</v>
      </c>
      <c r="Q16" s="68" t="e">
        <f t="shared" ca="1" si="2"/>
        <v>#VALUE!</v>
      </c>
      <c r="R16" s="56" t="s">
        <v>105</v>
      </c>
      <c r="S16" s="1"/>
      <c r="T16" s="1"/>
    </row>
    <row r="17" spans="1:20" ht="13">
      <c r="A17" s="7"/>
      <c r="B17" s="4"/>
      <c r="C17" s="4"/>
      <c r="D17" s="21"/>
      <c r="E17" s="8"/>
      <c r="F17" s="4"/>
      <c r="G17" s="26"/>
      <c r="H17" s="2"/>
      <c r="I17" s="8"/>
      <c r="J17" s="2"/>
      <c r="K17" s="2"/>
      <c r="L17" s="39"/>
      <c r="M17" s="48"/>
      <c r="N17" s="2"/>
      <c r="O17" s="48"/>
      <c r="P17" s="2"/>
      <c r="Q17" s="68"/>
      <c r="R17" s="54"/>
      <c r="S17" s="1"/>
      <c r="T17" s="1"/>
    </row>
    <row r="18" spans="1:20" ht="13">
      <c r="A18" s="20" t="s">
        <v>71</v>
      </c>
      <c r="B18" s="4"/>
      <c r="C18" s="4"/>
      <c r="D18" s="21"/>
      <c r="E18" s="8"/>
      <c r="F18" s="4"/>
      <c r="G18" s="26"/>
      <c r="H18" s="2"/>
      <c r="I18" s="8"/>
      <c r="J18" s="2"/>
      <c r="K18" s="2"/>
      <c r="L18" s="39"/>
      <c r="M18" s="48"/>
      <c r="N18" s="2"/>
      <c r="O18" s="48"/>
      <c r="P18" s="2"/>
      <c r="Q18" s="68"/>
      <c r="R18" s="54"/>
      <c r="S18" s="1"/>
      <c r="T18" s="1"/>
    </row>
    <row r="19" spans="1:20" ht="13">
      <c r="A19" s="59" t="s">
        <v>168</v>
      </c>
      <c r="B19" s="4" t="s">
        <v>169</v>
      </c>
      <c r="C19" s="4" t="s">
        <v>59</v>
      </c>
      <c r="D19" s="21" t="e">
        <f t="shared" ref="D19:D25" si="6">SUM(H19+I19+J19)</f>
        <v>#VALUE!</v>
      </c>
      <c r="E19" s="8" t="s">
        <v>13</v>
      </c>
      <c r="F19" s="10" t="s">
        <v>170</v>
      </c>
      <c r="G19" s="26" t="s">
        <v>14</v>
      </c>
      <c r="H19" s="2" t="e">
        <f t="shared" ref="H19:H25" si="7">SUM(G19*$H$5)</f>
        <v>#VALUE!</v>
      </c>
      <c r="I19" s="8" t="s">
        <v>171</v>
      </c>
      <c r="J19" s="2" t="s">
        <v>172</v>
      </c>
      <c r="K19" s="2" t="s">
        <v>173</v>
      </c>
      <c r="L19" s="39" t="e">
        <f t="shared" ref="L19:L25" si="8">-K19*M19</f>
        <v>#VALUE!</v>
      </c>
      <c r="M19" s="48" t="s">
        <v>174</v>
      </c>
      <c r="N19" s="2" t="e">
        <f t="shared" ref="N19:N25" si="9">+K19+L19</f>
        <v>#VALUE!</v>
      </c>
      <c r="O19" s="48" t="s">
        <v>311</v>
      </c>
      <c r="P19" s="135" t="e">
        <f t="shared" ref="P19:P25" si="10">(+D19/(1-O19))+$P$6</f>
        <v>#VALUE!</v>
      </c>
      <c r="Q19" s="68" t="e">
        <f t="shared" ref="Q19:Q25" ca="1" si="11">$A$2-F19</f>
        <v>#VALUE!</v>
      </c>
      <c r="R19" s="56" t="s">
        <v>105</v>
      </c>
      <c r="S19" s="61"/>
      <c r="T19" s="1"/>
    </row>
    <row r="20" spans="1:20" ht="13">
      <c r="A20" s="59" t="s">
        <v>168</v>
      </c>
      <c r="B20" s="4" t="s">
        <v>169</v>
      </c>
      <c r="C20" s="4" t="s">
        <v>59</v>
      </c>
      <c r="D20" s="21" t="e">
        <f t="shared" si="6"/>
        <v>#VALUE!</v>
      </c>
      <c r="E20" s="8" t="s">
        <v>13</v>
      </c>
      <c r="F20" s="10" t="s">
        <v>170</v>
      </c>
      <c r="G20" s="26" t="s">
        <v>14</v>
      </c>
      <c r="H20" s="2" t="e">
        <f t="shared" si="7"/>
        <v>#VALUE!</v>
      </c>
      <c r="I20" s="8" t="s">
        <v>171</v>
      </c>
      <c r="J20" s="2" t="s">
        <v>172</v>
      </c>
      <c r="K20" s="2" t="s">
        <v>173</v>
      </c>
      <c r="L20" s="39" t="e">
        <f t="shared" si="8"/>
        <v>#VALUE!</v>
      </c>
      <c r="M20" s="48" t="s">
        <v>174</v>
      </c>
      <c r="N20" s="2" t="e">
        <f t="shared" si="9"/>
        <v>#VALUE!</v>
      </c>
      <c r="O20" s="48" t="s">
        <v>311</v>
      </c>
      <c r="P20" s="135" t="e">
        <f t="shared" si="10"/>
        <v>#VALUE!</v>
      </c>
      <c r="Q20" s="68" t="e">
        <f t="shared" ca="1" si="11"/>
        <v>#VALUE!</v>
      </c>
      <c r="R20" s="56" t="s">
        <v>105</v>
      </c>
      <c r="S20" s="61"/>
      <c r="T20" s="1"/>
    </row>
    <row r="21" spans="1:20" ht="13">
      <c r="A21" s="59" t="s">
        <v>168</v>
      </c>
      <c r="B21" s="4" t="s">
        <v>169</v>
      </c>
      <c r="C21" s="4" t="s">
        <v>59</v>
      </c>
      <c r="D21" s="21" t="e">
        <f t="shared" si="6"/>
        <v>#VALUE!</v>
      </c>
      <c r="E21" s="8" t="s">
        <v>13</v>
      </c>
      <c r="F21" s="10" t="s">
        <v>170</v>
      </c>
      <c r="G21" s="26" t="s">
        <v>14</v>
      </c>
      <c r="H21" s="2" t="e">
        <f t="shared" si="7"/>
        <v>#VALUE!</v>
      </c>
      <c r="I21" s="8" t="s">
        <v>171</v>
      </c>
      <c r="J21" s="2" t="s">
        <v>172</v>
      </c>
      <c r="K21" s="2" t="s">
        <v>173</v>
      </c>
      <c r="L21" s="39" t="e">
        <f t="shared" si="8"/>
        <v>#VALUE!</v>
      </c>
      <c r="M21" s="48" t="s">
        <v>174</v>
      </c>
      <c r="N21" s="2" t="e">
        <f t="shared" si="9"/>
        <v>#VALUE!</v>
      </c>
      <c r="O21" s="48" t="s">
        <v>311</v>
      </c>
      <c r="P21" s="135" t="e">
        <f t="shared" si="10"/>
        <v>#VALUE!</v>
      </c>
      <c r="Q21" s="68" t="e">
        <f t="shared" ca="1" si="11"/>
        <v>#VALUE!</v>
      </c>
      <c r="R21" s="56" t="s">
        <v>105</v>
      </c>
      <c r="S21" s="95"/>
      <c r="T21" s="1"/>
    </row>
    <row r="22" spans="1:20" ht="13">
      <c r="A22" s="59" t="s">
        <v>168</v>
      </c>
      <c r="B22" s="4" t="s">
        <v>169</v>
      </c>
      <c r="C22" s="4" t="s">
        <v>59</v>
      </c>
      <c r="D22" s="21" t="e">
        <f t="shared" si="6"/>
        <v>#VALUE!</v>
      </c>
      <c r="E22" s="8" t="s">
        <v>13</v>
      </c>
      <c r="F22" s="10" t="s">
        <v>170</v>
      </c>
      <c r="G22" s="26" t="s">
        <v>14</v>
      </c>
      <c r="H22" s="2" t="e">
        <f t="shared" si="7"/>
        <v>#VALUE!</v>
      </c>
      <c r="I22" s="8" t="s">
        <v>171</v>
      </c>
      <c r="J22" s="2" t="s">
        <v>172</v>
      </c>
      <c r="K22" s="2" t="s">
        <v>173</v>
      </c>
      <c r="L22" s="39" t="e">
        <f t="shared" si="8"/>
        <v>#VALUE!</v>
      </c>
      <c r="M22" s="48" t="s">
        <v>174</v>
      </c>
      <c r="N22" s="2" t="e">
        <f t="shared" si="9"/>
        <v>#VALUE!</v>
      </c>
      <c r="O22" s="48" t="s">
        <v>311</v>
      </c>
      <c r="P22" s="135" t="e">
        <f t="shared" si="10"/>
        <v>#VALUE!</v>
      </c>
      <c r="Q22" s="68" t="e">
        <f t="shared" ca="1" si="11"/>
        <v>#VALUE!</v>
      </c>
      <c r="R22" s="56" t="s">
        <v>105</v>
      </c>
      <c r="S22" s="1"/>
      <c r="T22" s="1"/>
    </row>
    <row r="23" spans="1:20" ht="13">
      <c r="A23" s="59" t="s">
        <v>168</v>
      </c>
      <c r="B23" s="4" t="s">
        <v>169</v>
      </c>
      <c r="C23" s="4" t="s">
        <v>59</v>
      </c>
      <c r="D23" s="21" t="e">
        <f t="shared" si="6"/>
        <v>#VALUE!</v>
      </c>
      <c r="E23" s="8" t="s">
        <v>13</v>
      </c>
      <c r="F23" s="10" t="s">
        <v>170</v>
      </c>
      <c r="G23" s="26" t="s">
        <v>14</v>
      </c>
      <c r="H23" s="2" t="e">
        <f t="shared" si="7"/>
        <v>#VALUE!</v>
      </c>
      <c r="I23" s="8" t="s">
        <v>171</v>
      </c>
      <c r="J23" s="2" t="s">
        <v>172</v>
      </c>
      <c r="K23" s="2" t="s">
        <v>173</v>
      </c>
      <c r="L23" s="39" t="e">
        <f t="shared" si="8"/>
        <v>#VALUE!</v>
      </c>
      <c r="M23" s="48" t="s">
        <v>174</v>
      </c>
      <c r="N23" s="2" t="e">
        <f t="shared" si="9"/>
        <v>#VALUE!</v>
      </c>
      <c r="O23" s="48" t="s">
        <v>311</v>
      </c>
      <c r="P23" s="135" t="e">
        <f t="shared" si="10"/>
        <v>#VALUE!</v>
      </c>
      <c r="Q23" s="68" t="e">
        <f t="shared" ca="1" si="11"/>
        <v>#VALUE!</v>
      </c>
      <c r="R23" s="56" t="s">
        <v>105</v>
      </c>
      <c r="S23" s="1"/>
      <c r="T23" s="1"/>
    </row>
    <row r="24" spans="1:20" ht="13">
      <c r="A24" s="59" t="s">
        <v>168</v>
      </c>
      <c r="B24" s="4" t="s">
        <v>169</v>
      </c>
      <c r="C24" s="4" t="s">
        <v>59</v>
      </c>
      <c r="D24" s="21" t="e">
        <f t="shared" si="6"/>
        <v>#VALUE!</v>
      </c>
      <c r="E24" s="8" t="s">
        <v>13</v>
      </c>
      <c r="F24" s="10" t="s">
        <v>170</v>
      </c>
      <c r="G24" s="26" t="s">
        <v>14</v>
      </c>
      <c r="H24" s="2" t="e">
        <f t="shared" si="7"/>
        <v>#VALUE!</v>
      </c>
      <c r="I24" s="8" t="s">
        <v>171</v>
      </c>
      <c r="J24" s="2" t="s">
        <v>172</v>
      </c>
      <c r="K24" s="2" t="s">
        <v>173</v>
      </c>
      <c r="L24" s="39" t="e">
        <f t="shared" si="8"/>
        <v>#VALUE!</v>
      </c>
      <c r="M24" s="48" t="s">
        <v>174</v>
      </c>
      <c r="N24" s="2" t="e">
        <f t="shared" si="9"/>
        <v>#VALUE!</v>
      </c>
      <c r="O24" s="48" t="s">
        <v>311</v>
      </c>
      <c r="P24" s="135" t="e">
        <f t="shared" si="10"/>
        <v>#VALUE!</v>
      </c>
      <c r="Q24" s="68" t="e">
        <f t="shared" ca="1" si="11"/>
        <v>#VALUE!</v>
      </c>
      <c r="R24" s="56" t="s">
        <v>105</v>
      </c>
      <c r="S24" s="1"/>
      <c r="T24" s="1"/>
    </row>
    <row r="25" spans="1:20" ht="13">
      <c r="A25" s="59" t="s">
        <v>168</v>
      </c>
      <c r="B25" s="4" t="s">
        <v>169</v>
      </c>
      <c r="C25" s="4" t="s">
        <v>59</v>
      </c>
      <c r="D25" s="21" t="e">
        <f t="shared" si="6"/>
        <v>#VALUE!</v>
      </c>
      <c r="E25" s="8" t="s">
        <v>13</v>
      </c>
      <c r="F25" s="10" t="s">
        <v>170</v>
      </c>
      <c r="G25" s="26" t="s">
        <v>14</v>
      </c>
      <c r="H25" s="2" t="e">
        <f t="shared" si="7"/>
        <v>#VALUE!</v>
      </c>
      <c r="I25" s="8" t="s">
        <v>171</v>
      </c>
      <c r="J25" s="2" t="s">
        <v>172</v>
      </c>
      <c r="K25" s="2" t="s">
        <v>173</v>
      </c>
      <c r="L25" s="39" t="e">
        <f t="shared" si="8"/>
        <v>#VALUE!</v>
      </c>
      <c r="M25" s="48" t="s">
        <v>174</v>
      </c>
      <c r="N25" s="2" t="e">
        <f t="shared" si="9"/>
        <v>#VALUE!</v>
      </c>
      <c r="O25" s="48" t="s">
        <v>311</v>
      </c>
      <c r="P25" s="135" t="e">
        <f t="shared" si="10"/>
        <v>#VALUE!</v>
      </c>
      <c r="Q25" s="68" t="e">
        <f t="shared" ca="1" si="11"/>
        <v>#VALUE!</v>
      </c>
      <c r="R25" s="56" t="s">
        <v>105</v>
      </c>
      <c r="S25" s="1"/>
      <c r="T25" s="1"/>
    </row>
    <row r="26" spans="1:20" ht="13">
      <c r="A26" s="7"/>
      <c r="B26" s="4"/>
      <c r="C26" s="4"/>
      <c r="D26" s="8"/>
      <c r="E26" s="8"/>
      <c r="F26" s="4"/>
      <c r="G26" s="26"/>
      <c r="H26" s="2"/>
      <c r="I26" s="2"/>
      <c r="J26" s="2"/>
      <c r="K26" s="2"/>
      <c r="L26" s="39"/>
      <c r="M26" s="49"/>
      <c r="N26" s="2"/>
      <c r="O26" s="49"/>
      <c r="P26" s="2"/>
      <c r="Q26" s="27"/>
      <c r="R26" s="27"/>
      <c r="S26" s="2"/>
      <c r="T26" s="2"/>
    </row>
    <row r="27" spans="1:20" ht="13">
      <c r="A27" s="171" t="s">
        <v>15</v>
      </c>
      <c r="B27" s="172"/>
      <c r="C27" s="4"/>
      <c r="D27" s="8"/>
      <c r="E27" s="8"/>
      <c r="F27" s="4"/>
      <c r="G27" s="26"/>
      <c r="H27" s="2"/>
      <c r="I27" s="2"/>
      <c r="J27" s="2"/>
      <c r="K27" s="2"/>
      <c r="L27" s="2"/>
      <c r="M27" s="49"/>
      <c r="N27" s="2"/>
      <c r="O27" s="49"/>
      <c r="P27" s="2"/>
      <c r="Q27" s="27"/>
      <c r="R27" s="27"/>
      <c r="S27" s="2"/>
      <c r="T27" s="2"/>
    </row>
    <row r="28" spans="1:20" ht="13">
      <c r="A28" s="40"/>
      <c r="B28" s="72"/>
      <c r="C28" s="4"/>
      <c r="D28" s="8"/>
      <c r="E28" s="8"/>
      <c r="F28" s="4"/>
      <c r="G28" s="26"/>
      <c r="H28" s="2"/>
      <c r="I28" s="2"/>
      <c r="J28" s="2"/>
      <c r="K28" s="2"/>
      <c r="L28" s="2"/>
      <c r="M28" s="49"/>
      <c r="N28" s="2"/>
      <c r="O28" s="49"/>
      <c r="P28" s="2"/>
      <c r="Q28" s="27"/>
      <c r="R28" s="27"/>
      <c r="S28" s="2"/>
      <c r="T28" s="2"/>
    </row>
    <row r="29" spans="1:20" ht="13">
      <c r="A29" s="40"/>
      <c r="B29" s="72"/>
      <c r="C29" s="4"/>
      <c r="D29" s="8"/>
      <c r="E29" s="8"/>
      <c r="F29" s="4"/>
      <c r="G29" s="26"/>
      <c r="H29" s="2"/>
      <c r="I29" s="2"/>
      <c r="J29" s="2"/>
      <c r="K29" s="2"/>
      <c r="L29" s="2"/>
      <c r="M29" s="49"/>
      <c r="N29" s="2"/>
      <c r="O29" s="49"/>
      <c r="P29" s="2"/>
      <c r="Q29" s="27"/>
      <c r="R29" s="27"/>
      <c r="S29" s="2"/>
      <c r="T29" s="2"/>
    </row>
    <row r="30" spans="1:20" ht="13">
      <c r="A30" s="40"/>
      <c r="B30" s="72"/>
      <c r="C30" s="4"/>
      <c r="D30" s="8"/>
      <c r="E30" s="8"/>
      <c r="F30" s="4"/>
      <c r="G30" s="26"/>
      <c r="H30" s="2"/>
      <c r="I30" s="2"/>
      <c r="J30" s="2"/>
      <c r="K30" s="2"/>
      <c r="L30" s="2"/>
      <c r="M30" s="49"/>
      <c r="N30" s="2"/>
      <c r="O30" s="49"/>
      <c r="P30" s="2"/>
      <c r="Q30" s="27"/>
      <c r="R30" s="27"/>
      <c r="S30" s="2"/>
      <c r="T30" s="2"/>
    </row>
    <row r="31" spans="1:20" ht="13">
      <c r="A31" s="38" t="str">
        <f>+$A$1</f>
        <v>ABC Marine</v>
      </c>
      <c r="B31" s="9"/>
      <c r="C31" s="9"/>
      <c r="D31" s="9"/>
      <c r="E31" s="9"/>
      <c r="F31" s="9"/>
      <c r="G31" s="44"/>
      <c r="H31" s="9"/>
      <c r="I31" s="9"/>
      <c r="J31" s="9"/>
      <c r="K31" s="9"/>
      <c r="L31" s="9"/>
      <c r="M31" s="50"/>
      <c r="N31" s="9"/>
      <c r="O31" s="50"/>
      <c r="P31" s="9"/>
      <c r="Q31" s="13"/>
      <c r="R31" s="13"/>
      <c r="S31" s="9"/>
      <c r="T31" s="9"/>
    </row>
    <row r="32" spans="1:20" ht="13">
      <c r="A32" s="37">
        <f ca="1">+$A$2</f>
        <v>41278</v>
      </c>
      <c r="B32" s="34"/>
      <c r="C32" s="34"/>
      <c r="D32" s="34"/>
      <c r="E32" s="34"/>
      <c r="F32" s="34"/>
      <c r="G32" s="41"/>
      <c r="H32" s="34"/>
      <c r="I32" s="34"/>
      <c r="J32" s="34"/>
      <c r="K32" s="34"/>
      <c r="L32" s="34"/>
      <c r="M32" s="46"/>
      <c r="N32" s="34"/>
      <c r="O32" s="46"/>
      <c r="P32" s="34"/>
      <c r="Q32" s="53"/>
      <c r="R32" s="53"/>
      <c r="S32" s="34"/>
      <c r="T32" s="34"/>
    </row>
    <row r="33" spans="1:20" ht="13">
      <c r="A33" s="144" t="s">
        <v>2</v>
      </c>
      <c r="B33" s="13"/>
      <c r="C33" s="13"/>
      <c r="D33" s="24"/>
      <c r="E33" s="13"/>
      <c r="F33" s="13"/>
      <c r="G33" s="26"/>
      <c r="H33" s="2"/>
      <c r="I33" s="2"/>
      <c r="J33" s="2"/>
      <c r="K33" s="2"/>
      <c r="L33" s="2"/>
      <c r="M33" s="49"/>
      <c r="N33" s="2"/>
      <c r="O33" s="49"/>
      <c r="P33" s="2"/>
      <c r="Q33" s="27"/>
      <c r="R33" s="27"/>
      <c r="S33" s="1"/>
      <c r="T33" s="1"/>
    </row>
    <row r="34" spans="1:20" ht="91">
      <c r="A34" s="12" t="s">
        <v>247</v>
      </c>
      <c r="B34" s="141" t="s">
        <v>287</v>
      </c>
      <c r="C34" s="96" t="s">
        <v>239</v>
      </c>
      <c r="D34" s="101" t="s">
        <v>270</v>
      </c>
      <c r="E34" s="101" t="s">
        <v>250</v>
      </c>
      <c r="F34" s="96" t="s">
        <v>271</v>
      </c>
      <c r="G34" s="106" t="s">
        <v>268</v>
      </c>
      <c r="H34" s="29" t="s">
        <v>263</v>
      </c>
      <c r="I34" s="101" t="s">
        <v>264</v>
      </c>
      <c r="J34" s="101" t="s">
        <v>254</v>
      </c>
      <c r="K34" s="142" t="s">
        <v>292</v>
      </c>
      <c r="L34" s="142" t="s">
        <v>303</v>
      </c>
      <c r="M34" s="110" t="s">
        <v>293</v>
      </c>
      <c r="N34" s="2"/>
      <c r="O34" s="114" t="s">
        <v>275</v>
      </c>
      <c r="P34" s="102" t="s">
        <v>260</v>
      </c>
      <c r="Q34" s="96" t="s">
        <v>266</v>
      </c>
      <c r="R34" s="12" t="s">
        <v>262</v>
      </c>
      <c r="S34" s="1"/>
      <c r="T34" s="1"/>
    </row>
    <row r="35" spans="1:20" ht="13">
      <c r="A35" s="35"/>
      <c r="B35" s="35"/>
      <c r="C35" s="35"/>
      <c r="D35" s="35"/>
      <c r="E35" s="35"/>
      <c r="F35" s="35"/>
      <c r="G35" s="42"/>
      <c r="H35" s="112">
        <v>25</v>
      </c>
      <c r="I35" s="35"/>
      <c r="J35" s="35"/>
      <c r="K35" s="35"/>
      <c r="L35" s="35"/>
      <c r="M35" s="47"/>
      <c r="N35" s="2"/>
      <c r="O35" s="70"/>
      <c r="P35" s="127" t="s">
        <v>203</v>
      </c>
      <c r="Q35" s="35"/>
      <c r="R35" s="55"/>
      <c r="S35" s="1"/>
      <c r="T35" s="1"/>
    </row>
    <row r="36" spans="1:20" ht="15">
      <c r="A36" s="5"/>
      <c r="B36" s="4"/>
      <c r="C36" s="1"/>
      <c r="D36" s="8"/>
      <c r="E36" s="8"/>
      <c r="F36" s="1"/>
      <c r="G36" s="26"/>
      <c r="H36" s="111" t="s">
        <v>211</v>
      </c>
      <c r="I36" s="2"/>
      <c r="J36" s="2"/>
      <c r="K36" s="2"/>
      <c r="L36" s="2"/>
      <c r="M36" s="49"/>
      <c r="N36" s="16"/>
      <c r="O36" s="49"/>
      <c r="P36" s="128">
        <v>2000</v>
      </c>
      <c r="Q36" s="2"/>
      <c r="R36" s="57"/>
      <c r="S36" s="16"/>
      <c r="T36" s="16"/>
    </row>
    <row r="37" spans="1:20" ht="13">
      <c r="A37" s="59" t="s">
        <v>168</v>
      </c>
      <c r="B37" s="59" t="s">
        <v>288</v>
      </c>
      <c r="C37" s="4" t="s">
        <v>59</v>
      </c>
      <c r="D37" s="22" t="e">
        <f t="shared" ref="D37:D52" si="12">SUM(H37+I37+J37)</f>
        <v>#VALUE!</v>
      </c>
      <c r="E37" s="8" t="s">
        <v>13</v>
      </c>
      <c r="F37" s="10" t="s">
        <v>170</v>
      </c>
      <c r="G37" s="26" t="s">
        <v>14</v>
      </c>
      <c r="H37" s="2" t="e">
        <f>SUM(G37*$H$35)</f>
        <v>#VALUE!</v>
      </c>
      <c r="I37" s="8" t="s">
        <v>160</v>
      </c>
      <c r="J37" s="2"/>
      <c r="K37" s="2" t="e">
        <f>+P37/(1-M37)</f>
        <v>#VALUE!</v>
      </c>
      <c r="L37" s="39" t="e">
        <f>+P37-K37</f>
        <v>#VALUE!</v>
      </c>
      <c r="M37" s="147" t="s">
        <v>310</v>
      </c>
      <c r="N37" s="2"/>
      <c r="O37" s="48" t="s">
        <v>311</v>
      </c>
      <c r="P37" s="2" t="e">
        <f t="shared" ref="P37:P52" si="13">(+D37/(1-O37))+$P$36</f>
        <v>#VALUE!</v>
      </c>
      <c r="Q37" s="68" t="e">
        <f t="shared" ref="Q37:Q52" ca="1" si="14">$A$2-F37</f>
        <v>#VALUE!</v>
      </c>
      <c r="R37" s="56" t="s">
        <v>105</v>
      </c>
      <c r="S37" s="1"/>
      <c r="T37" s="1"/>
    </row>
    <row r="38" spans="1:20" ht="13">
      <c r="A38" s="59" t="s">
        <v>168</v>
      </c>
      <c r="B38" s="59" t="s">
        <v>288</v>
      </c>
      <c r="C38" s="4" t="s">
        <v>59</v>
      </c>
      <c r="D38" s="22" t="e">
        <f t="shared" si="12"/>
        <v>#VALUE!</v>
      </c>
      <c r="E38" s="8" t="s">
        <v>13</v>
      </c>
      <c r="F38" s="10" t="s">
        <v>170</v>
      </c>
      <c r="G38" s="26" t="s">
        <v>14</v>
      </c>
      <c r="H38" s="2" t="e">
        <f t="shared" ref="H38:H52" si="15">SUM(G38*25)</f>
        <v>#VALUE!</v>
      </c>
      <c r="I38" s="8" t="s">
        <v>160</v>
      </c>
      <c r="J38" s="2"/>
      <c r="K38" s="2" t="e">
        <f t="shared" ref="K38:K52" si="16">+P38/(1-M38)</f>
        <v>#VALUE!</v>
      </c>
      <c r="L38" s="39" t="e">
        <f t="shared" ref="L38:L52" si="17">+P38-K38</f>
        <v>#VALUE!</v>
      </c>
      <c r="M38" s="147" t="s">
        <v>310</v>
      </c>
      <c r="N38" s="2"/>
      <c r="O38" s="48" t="s">
        <v>311</v>
      </c>
      <c r="P38" s="2" t="e">
        <f t="shared" si="13"/>
        <v>#VALUE!</v>
      </c>
      <c r="Q38" s="68" t="e">
        <f t="shared" ca="1" si="14"/>
        <v>#VALUE!</v>
      </c>
      <c r="R38" s="56" t="s">
        <v>105</v>
      </c>
      <c r="S38" s="1"/>
      <c r="T38" s="1"/>
    </row>
    <row r="39" spans="1:20" ht="13">
      <c r="A39" s="59" t="s">
        <v>168</v>
      </c>
      <c r="B39" s="59" t="s">
        <v>288</v>
      </c>
      <c r="C39" s="4" t="s">
        <v>59</v>
      </c>
      <c r="D39" s="22" t="e">
        <f t="shared" si="12"/>
        <v>#VALUE!</v>
      </c>
      <c r="E39" s="8" t="s">
        <v>13</v>
      </c>
      <c r="F39" s="10" t="s">
        <v>170</v>
      </c>
      <c r="G39" s="26" t="s">
        <v>14</v>
      </c>
      <c r="H39" s="2" t="e">
        <f t="shared" si="15"/>
        <v>#VALUE!</v>
      </c>
      <c r="I39" s="8" t="s">
        <v>160</v>
      </c>
      <c r="J39" s="2"/>
      <c r="K39" s="2" t="e">
        <f t="shared" si="16"/>
        <v>#VALUE!</v>
      </c>
      <c r="L39" s="39" t="e">
        <f t="shared" si="17"/>
        <v>#VALUE!</v>
      </c>
      <c r="M39" s="147" t="s">
        <v>310</v>
      </c>
      <c r="N39" s="2"/>
      <c r="O39" s="48" t="s">
        <v>311</v>
      </c>
      <c r="P39" s="2" t="e">
        <f t="shared" si="13"/>
        <v>#VALUE!</v>
      </c>
      <c r="Q39" s="68" t="e">
        <f t="shared" ca="1" si="14"/>
        <v>#VALUE!</v>
      </c>
      <c r="R39" s="56" t="s">
        <v>105</v>
      </c>
      <c r="S39" s="1"/>
      <c r="T39" s="1"/>
    </row>
    <row r="40" spans="1:20" ht="13">
      <c r="A40" s="59" t="s">
        <v>168</v>
      </c>
      <c r="B40" s="59" t="s">
        <v>288</v>
      </c>
      <c r="C40" s="4" t="s">
        <v>59</v>
      </c>
      <c r="D40" s="22" t="e">
        <f t="shared" si="12"/>
        <v>#VALUE!</v>
      </c>
      <c r="E40" s="8" t="s">
        <v>13</v>
      </c>
      <c r="F40" s="10" t="s">
        <v>170</v>
      </c>
      <c r="G40" s="26" t="s">
        <v>14</v>
      </c>
      <c r="H40" s="2" t="e">
        <f t="shared" si="15"/>
        <v>#VALUE!</v>
      </c>
      <c r="I40" s="8" t="s">
        <v>160</v>
      </c>
      <c r="J40" s="2"/>
      <c r="K40" s="2" t="e">
        <f t="shared" si="16"/>
        <v>#VALUE!</v>
      </c>
      <c r="L40" s="39" t="e">
        <f t="shared" si="17"/>
        <v>#VALUE!</v>
      </c>
      <c r="M40" s="147" t="s">
        <v>310</v>
      </c>
      <c r="N40" s="2"/>
      <c r="O40" s="48" t="s">
        <v>311</v>
      </c>
      <c r="P40" s="2" t="e">
        <f t="shared" si="13"/>
        <v>#VALUE!</v>
      </c>
      <c r="Q40" s="68" t="e">
        <f t="shared" ca="1" si="14"/>
        <v>#VALUE!</v>
      </c>
      <c r="R40" s="56" t="s">
        <v>105</v>
      </c>
      <c r="S40" s="1"/>
      <c r="T40" s="1"/>
    </row>
    <row r="41" spans="1:20" ht="13">
      <c r="A41" s="59" t="s">
        <v>168</v>
      </c>
      <c r="B41" s="59" t="s">
        <v>288</v>
      </c>
      <c r="C41" s="4" t="s">
        <v>59</v>
      </c>
      <c r="D41" s="22" t="e">
        <f t="shared" si="12"/>
        <v>#VALUE!</v>
      </c>
      <c r="E41" s="8" t="s">
        <v>13</v>
      </c>
      <c r="F41" s="10" t="s">
        <v>170</v>
      </c>
      <c r="G41" s="26" t="s">
        <v>14</v>
      </c>
      <c r="H41" s="2" t="e">
        <f t="shared" si="15"/>
        <v>#VALUE!</v>
      </c>
      <c r="I41" s="8" t="s">
        <v>160</v>
      </c>
      <c r="J41" s="2"/>
      <c r="K41" s="2" t="e">
        <f t="shared" si="16"/>
        <v>#VALUE!</v>
      </c>
      <c r="L41" s="39" t="e">
        <f t="shared" si="17"/>
        <v>#VALUE!</v>
      </c>
      <c r="M41" s="147" t="s">
        <v>310</v>
      </c>
      <c r="N41" s="2"/>
      <c r="O41" s="48" t="s">
        <v>311</v>
      </c>
      <c r="P41" s="2" t="e">
        <f t="shared" si="13"/>
        <v>#VALUE!</v>
      </c>
      <c r="Q41" s="68" t="e">
        <f t="shared" ca="1" si="14"/>
        <v>#VALUE!</v>
      </c>
      <c r="R41" s="56" t="s">
        <v>105</v>
      </c>
      <c r="S41" s="1"/>
      <c r="T41" s="1"/>
    </row>
    <row r="42" spans="1:20" ht="13">
      <c r="A42" s="59" t="s">
        <v>168</v>
      </c>
      <c r="B42" s="59" t="s">
        <v>288</v>
      </c>
      <c r="C42" s="4" t="s">
        <v>59</v>
      </c>
      <c r="D42" s="22" t="e">
        <f t="shared" si="12"/>
        <v>#VALUE!</v>
      </c>
      <c r="E42" s="8" t="s">
        <v>13</v>
      </c>
      <c r="F42" s="10" t="s">
        <v>170</v>
      </c>
      <c r="G42" s="26" t="s">
        <v>14</v>
      </c>
      <c r="H42" s="2" t="e">
        <f t="shared" si="15"/>
        <v>#VALUE!</v>
      </c>
      <c r="I42" s="8" t="s">
        <v>160</v>
      </c>
      <c r="J42" s="2"/>
      <c r="K42" s="2" t="e">
        <f t="shared" si="16"/>
        <v>#VALUE!</v>
      </c>
      <c r="L42" s="39" t="e">
        <f t="shared" si="17"/>
        <v>#VALUE!</v>
      </c>
      <c r="M42" s="147" t="s">
        <v>310</v>
      </c>
      <c r="N42" s="2"/>
      <c r="O42" s="48" t="s">
        <v>311</v>
      </c>
      <c r="P42" s="2" t="e">
        <f t="shared" si="13"/>
        <v>#VALUE!</v>
      </c>
      <c r="Q42" s="68" t="e">
        <f t="shared" ca="1" si="14"/>
        <v>#VALUE!</v>
      </c>
      <c r="R42" s="56" t="s">
        <v>105</v>
      </c>
      <c r="S42" s="1"/>
      <c r="T42" s="1"/>
    </row>
    <row r="43" spans="1:20" ht="13">
      <c r="A43" s="59" t="s">
        <v>168</v>
      </c>
      <c r="B43" s="59" t="s">
        <v>288</v>
      </c>
      <c r="C43" s="4" t="s">
        <v>59</v>
      </c>
      <c r="D43" s="22" t="e">
        <f t="shared" si="12"/>
        <v>#VALUE!</v>
      </c>
      <c r="E43" s="8" t="s">
        <v>13</v>
      </c>
      <c r="F43" s="10" t="s">
        <v>170</v>
      </c>
      <c r="G43" s="26" t="s">
        <v>14</v>
      </c>
      <c r="H43" s="2" t="e">
        <f t="shared" si="15"/>
        <v>#VALUE!</v>
      </c>
      <c r="I43" s="8" t="s">
        <v>160</v>
      </c>
      <c r="J43" s="2"/>
      <c r="K43" s="2" t="e">
        <f t="shared" si="16"/>
        <v>#VALUE!</v>
      </c>
      <c r="L43" s="39" t="e">
        <f t="shared" si="17"/>
        <v>#VALUE!</v>
      </c>
      <c r="M43" s="147" t="s">
        <v>310</v>
      </c>
      <c r="N43" s="2"/>
      <c r="O43" s="48" t="s">
        <v>311</v>
      </c>
      <c r="P43" s="2" t="e">
        <f t="shared" si="13"/>
        <v>#VALUE!</v>
      </c>
      <c r="Q43" s="68" t="e">
        <f t="shared" ca="1" si="14"/>
        <v>#VALUE!</v>
      </c>
      <c r="R43" s="56" t="s">
        <v>105</v>
      </c>
      <c r="S43" s="1"/>
      <c r="T43" s="1"/>
    </row>
    <row r="44" spans="1:20" ht="13">
      <c r="A44" s="59" t="s">
        <v>168</v>
      </c>
      <c r="B44" s="59" t="s">
        <v>288</v>
      </c>
      <c r="C44" s="4" t="s">
        <v>59</v>
      </c>
      <c r="D44" s="22" t="e">
        <f t="shared" si="12"/>
        <v>#VALUE!</v>
      </c>
      <c r="E44" s="8" t="s">
        <v>13</v>
      </c>
      <c r="F44" s="10" t="s">
        <v>170</v>
      </c>
      <c r="G44" s="26" t="s">
        <v>14</v>
      </c>
      <c r="H44" s="2" t="e">
        <f t="shared" si="15"/>
        <v>#VALUE!</v>
      </c>
      <c r="I44" s="8" t="s">
        <v>160</v>
      </c>
      <c r="J44" s="2"/>
      <c r="K44" s="2" t="e">
        <f t="shared" si="16"/>
        <v>#VALUE!</v>
      </c>
      <c r="L44" s="39" t="e">
        <f t="shared" si="17"/>
        <v>#VALUE!</v>
      </c>
      <c r="M44" s="147" t="s">
        <v>310</v>
      </c>
      <c r="N44" s="2"/>
      <c r="O44" s="48" t="s">
        <v>311</v>
      </c>
      <c r="P44" s="2" t="e">
        <f t="shared" si="13"/>
        <v>#VALUE!</v>
      </c>
      <c r="Q44" s="68" t="e">
        <f t="shared" ca="1" si="14"/>
        <v>#VALUE!</v>
      </c>
      <c r="R44" s="56" t="s">
        <v>105</v>
      </c>
      <c r="S44" s="1"/>
      <c r="T44" s="1"/>
    </row>
    <row r="45" spans="1:20" ht="13">
      <c r="A45" s="59" t="s">
        <v>168</v>
      </c>
      <c r="B45" s="59" t="s">
        <v>288</v>
      </c>
      <c r="C45" s="4" t="s">
        <v>59</v>
      </c>
      <c r="D45" s="22" t="e">
        <f t="shared" si="12"/>
        <v>#VALUE!</v>
      </c>
      <c r="E45" s="8" t="s">
        <v>13</v>
      </c>
      <c r="F45" s="10" t="s">
        <v>170</v>
      </c>
      <c r="G45" s="26" t="s">
        <v>14</v>
      </c>
      <c r="H45" s="2" t="e">
        <f t="shared" si="15"/>
        <v>#VALUE!</v>
      </c>
      <c r="I45" s="8" t="s">
        <v>160</v>
      </c>
      <c r="J45" s="2"/>
      <c r="K45" s="2" t="e">
        <f t="shared" si="16"/>
        <v>#VALUE!</v>
      </c>
      <c r="L45" s="39" t="e">
        <f t="shared" si="17"/>
        <v>#VALUE!</v>
      </c>
      <c r="M45" s="147" t="s">
        <v>310</v>
      </c>
      <c r="N45" s="2"/>
      <c r="O45" s="48" t="s">
        <v>311</v>
      </c>
      <c r="P45" s="2" t="e">
        <f t="shared" si="13"/>
        <v>#VALUE!</v>
      </c>
      <c r="Q45" s="68" t="e">
        <f t="shared" ca="1" si="14"/>
        <v>#VALUE!</v>
      </c>
      <c r="R45" s="56"/>
      <c r="S45" s="1"/>
      <c r="T45" s="1"/>
    </row>
    <row r="46" spans="1:20" ht="13">
      <c r="A46" s="59" t="s">
        <v>168</v>
      </c>
      <c r="B46" s="59" t="s">
        <v>288</v>
      </c>
      <c r="C46" s="4" t="s">
        <v>59</v>
      </c>
      <c r="D46" s="22" t="e">
        <f t="shared" si="12"/>
        <v>#VALUE!</v>
      </c>
      <c r="E46" s="8" t="s">
        <v>13</v>
      </c>
      <c r="F46" s="10" t="s">
        <v>170</v>
      </c>
      <c r="G46" s="26" t="s">
        <v>14</v>
      </c>
      <c r="H46" s="2" t="e">
        <f t="shared" si="15"/>
        <v>#VALUE!</v>
      </c>
      <c r="I46" s="8" t="s">
        <v>160</v>
      </c>
      <c r="J46" s="2"/>
      <c r="K46" s="2" t="e">
        <f t="shared" si="16"/>
        <v>#VALUE!</v>
      </c>
      <c r="L46" s="39" t="e">
        <f t="shared" si="17"/>
        <v>#VALUE!</v>
      </c>
      <c r="M46" s="147" t="s">
        <v>310</v>
      </c>
      <c r="N46" s="2"/>
      <c r="O46" s="48" t="s">
        <v>311</v>
      </c>
      <c r="P46" s="2" t="e">
        <f t="shared" si="13"/>
        <v>#VALUE!</v>
      </c>
      <c r="Q46" s="68" t="e">
        <f t="shared" ca="1" si="14"/>
        <v>#VALUE!</v>
      </c>
      <c r="R46" s="56" t="s">
        <v>105</v>
      </c>
      <c r="S46" s="1"/>
      <c r="T46" s="1"/>
    </row>
    <row r="47" spans="1:20" ht="13">
      <c r="A47" s="59" t="s">
        <v>168</v>
      </c>
      <c r="B47" s="59" t="s">
        <v>288</v>
      </c>
      <c r="C47" s="4" t="s">
        <v>59</v>
      </c>
      <c r="D47" s="22" t="e">
        <f t="shared" si="12"/>
        <v>#VALUE!</v>
      </c>
      <c r="E47" s="8" t="s">
        <v>13</v>
      </c>
      <c r="F47" s="10" t="s">
        <v>170</v>
      </c>
      <c r="G47" s="26" t="s">
        <v>14</v>
      </c>
      <c r="H47" s="2" t="e">
        <f t="shared" si="15"/>
        <v>#VALUE!</v>
      </c>
      <c r="I47" s="8" t="s">
        <v>160</v>
      </c>
      <c r="J47" s="2"/>
      <c r="K47" s="2" t="e">
        <f t="shared" si="16"/>
        <v>#VALUE!</v>
      </c>
      <c r="L47" s="39" t="e">
        <f t="shared" si="17"/>
        <v>#VALUE!</v>
      </c>
      <c r="M47" s="147" t="s">
        <v>310</v>
      </c>
      <c r="N47" s="2"/>
      <c r="O47" s="48" t="s">
        <v>311</v>
      </c>
      <c r="P47" s="2" t="e">
        <f t="shared" si="13"/>
        <v>#VALUE!</v>
      </c>
      <c r="Q47" s="68" t="e">
        <f t="shared" ca="1" si="14"/>
        <v>#VALUE!</v>
      </c>
      <c r="R47" s="56" t="s">
        <v>105</v>
      </c>
      <c r="S47" s="1"/>
      <c r="T47" s="1"/>
    </row>
    <row r="48" spans="1:20" ht="13">
      <c r="A48" s="59" t="s">
        <v>168</v>
      </c>
      <c r="B48" s="59" t="s">
        <v>288</v>
      </c>
      <c r="C48" s="4" t="s">
        <v>59</v>
      </c>
      <c r="D48" s="22" t="e">
        <f t="shared" si="12"/>
        <v>#VALUE!</v>
      </c>
      <c r="E48" s="8" t="s">
        <v>13</v>
      </c>
      <c r="F48" s="10" t="s">
        <v>170</v>
      </c>
      <c r="G48" s="26" t="s">
        <v>14</v>
      </c>
      <c r="H48" s="2" t="e">
        <f t="shared" si="15"/>
        <v>#VALUE!</v>
      </c>
      <c r="I48" s="8" t="s">
        <v>160</v>
      </c>
      <c r="J48" s="2"/>
      <c r="K48" s="2" t="e">
        <f t="shared" si="16"/>
        <v>#VALUE!</v>
      </c>
      <c r="L48" s="39" t="e">
        <f t="shared" si="17"/>
        <v>#VALUE!</v>
      </c>
      <c r="M48" s="147" t="s">
        <v>310</v>
      </c>
      <c r="N48" s="2"/>
      <c r="O48" s="48" t="s">
        <v>311</v>
      </c>
      <c r="P48" s="2" t="e">
        <f t="shared" si="13"/>
        <v>#VALUE!</v>
      </c>
      <c r="Q48" s="68" t="e">
        <f t="shared" ca="1" si="14"/>
        <v>#VALUE!</v>
      </c>
      <c r="R48" s="56" t="s">
        <v>105</v>
      </c>
      <c r="S48" s="1"/>
      <c r="T48" s="1"/>
    </row>
    <row r="49" spans="1:20" ht="13">
      <c r="A49" s="59" t="s">
        <v>168</v>
      </c>
      <c r="B49" s="59" t="s">
        <v>288</v>
      </c>
      <c r="C49" s="4" t="s">
        <v>59</v>
      </c>
      <c r="D49" s="22" t="e">
        <f t="shared" si="12"/>
        <v>#VALUE!</v>
      </c>
      <c r="E49" s="8" t="s">
        <v>13</v>
      </c>
      <c r="F49" s="10" t="s">
        <v>170</v>
      </c>
      <c r="G49" s="26" t="s">
        <v>14</v>
      </c>
      <c r="H49" s="2" t="e">
        <f t="shared" si="15"/>
        <v>#VALUE!</v>
      </c>
      <c r="I49" s="8" t="s">
        <v>160</v>
      </c>
      <c r="J49" s="2"/>
      <c r="K49" s="2" t="e">
        <f t="shared" si="16"/>
        <v>#VALUE!</v>
      </c>
      <c r="L49" s="39" t="e">
        <f t="shared" si="17"/>
        <v>#VALUE!</v>
      </c>
      <c r="M49" s="147" t="s">
        <v>310</v>
      </c>
      <c r="N49" s="2"/>
      <c r="O49" s="48" t="s">
        <v>311</v>
      </c>
      <c r="P49" s="2" t="e">
        <f t="shared" si="13"/>
        <v>#VALUE!</v>
      </c>
      <c r="Q49" s="68" t="e">
        <f t="shared" ca="1" si="14"/>
        <v>#VALUE!</v>
      </c>
      <c r="R49" s="56" t="s">
        <v>105</v>
      </c>
      <c r="S49" s="1"/>
      <c r="T49" s="1"/>
    </row>
    <row r="50" spans="1:20" ht="13">
      <c r="A50" s="59" t="s">
        <v>168</v>
      </c>
      <c r="B50" s="59" t="s">
        <v>288</v>
      </c>
      <c r="C50" s="4" t="s">
        <v>59</v>
      </c>
      <c r="D50" s="22" t="e">
        <f t="shared" si="12"/>
        <v>#VALUE!</v>
      </c>
      <c r="E50" s="8" t="s">
        <v>13</v>
      </c>
      <c r="F50" s="10" t="s">
        <v>170</v>
      </c>
      <c r="G50" s="26" t="s">
        <v>14</v>
      </c>
      <c r="H50" s="2" t="e">
        <f t="shared" si="15"/>
        <v>#VALUE!</v>
      </c>
      <c r="I50" s="8" t="s">
        <v>160</v>
      </c>
      <c r="J50" s="2"/>
      <c r="K50" s="2" t="e">
        <f t="shared" si="16"/>
        <v>#VALUE!</v>
      </c>
      <c r="L50" s="39" t="e">
        <f t="shared" si="17"/>
        <v>#VALUE!</v>
      </c>
      <c r="M50" s="147" t="s">
        <v>310</v>
      </c>
      <c r="N50" s="2"/>
      <c r="O50" s="48" t="s">
        <v>311</v>
      </c>
      <c r="P50" s="2" t="e">
        <f t="shared" si="13"/>
        <v>#VALUE!</v>
      </c>
      <c r="Q50" s="68" t="e">
        <f t="shared" ca="1" si="14"/>
        <v>#VALUE!</v>
      </c>
      <c r="R50" s="56" t="s">
        <v>105</v>
      </c>
      <c r="S50" s="1"/>
      <c r="T50" s="1"/>
    </row>
    <row r="51" spans="1:20" ht="13">
      <c r="A51" s="59" t="s">
        <v>168</v>
      </c>
      <c r="B51" s="59" t="s">
        <v>288</v>
      </c>
      <c r="C51" s="4" t="s">
        <v>59</v>
      </c>
      <c r="D51" s="22" t="e">
        <f t="shared" si="12"/>
        <v>#VALUE!</v>
      </c>
      <c r="E51" s="8" t="s">
        <v>13</v>
      </c>
      <c r="F51" s="10" t="s">
        <v>170</v>
      </c>
      <c r="G51" s="26" t="s">
        <v>14</v>
      </c>
      <c r="H51" s="2" t="e">
        <f t="shared" si="15"/>
        <v>#VALUE!</v>
      </c>
      <c r="I51" s="8" t="s">
        <v>160</v>
      </c>
      <c r="J51" s="2"/>
      <c r="K51" s="2" t="e">
        <f t="shared" si="16"/>
        <v>#VALUE!</v>
      </c>
      <c r="L51" s="39" t="e">
        <f t="shared" si="17"/>
        <v>#VALUE!</v>
      </c>
      <c r="M51" s="147" t="s">
        <v>310</v>
      </c>
      <c r="N51" s="2"/>
      <c r="O51" s="48" t="s">
        <v>311</v>
      </c>
      <c r="P51" s="2" t="e">
        <f t="shared" si="13"/>
        <v>#VALUE!</v>
      </c>
      <c r="Q51" s="68" t="e">
        <f t="shared" ca="1" si="14"/>
        <v>#VALUE!</v>
      </c>
      <c r="R51" s="56" t="s">
        <v>105</v>
      </c>
      <c r="S51" s="1"/>
      <c r="T51" s="1"/>
    </row>
    <row r="52" spans="1:20" ht="13">
      <c r="A52" s="59" t="s">
        <v>168</v>
      </c>
      <c r="B52" s="59" t="s">
        <v>288</v>
      </c>
      <c r="C52" s="4" t="s">
        <v>59</v>
      </c>
      <c r="D52" s="22" t="e">
        <f t="shared" si="12"/>
        <v>#VALUE!</v>
      </c>
      <c r="E52" s="8" t="s">
        <v>13</v>
      </c>
      <c r="F52" s="10" t="s">
        <v>170</v>
      </c>
      <c r="G52" s="26" t="s">
        <v>14</v>
      </c>
      <c r="H52" s="2" t="e">
        <f t="shared" si="15"/>
        <v>#VALUE!</v>
      </c>
      <c r="I52" s="8" t="s">
        <v>160</v>
      </c>
      <c r="J52" s="2"/>
      <c r="K52" s="2" t="e">
        <f t="shared" si="16"/>
        <v>#VALUE!</v>
      </c>
      <c r="L52" s="39" t="e">
        <f t="shared" si="17"/>
        <v>#VALUE!</v>
      </c>
      <c r="M52" s="147" t="s">
        <v>310</v>
      </c>
      <c r="N52" s="2"/>
      <c r="O52" s="48" t="s">
        <v>311</v>
      </c>
      <c r="P52" s="2" t="e">
        <f t="shared" si="13"/>
        <v>#VALUE!</v>
      </c>
      <c r="Q52" s="68" t="e">
        <f t="shared" ca="1" si="14"/>
        <v>#VALUE!</v>
      </c>
      <c r="R52" s="56" t="s">
        <v>105</v>
      </c>
      <c r="S52" s="1"/>
      <c r="T52" s="1"/>
    </row>
    <row r="53" spans="1:20" ht="13">
      <c r="A53" s="6"/>
      <c r="B53" s="4"/>
      <c r="C53" s="1"/>
      <c r="D53" s="8"/>
      <c r="E53" s="8"/>
      <c r="F53" s="1"/>
      <c r="G53" s="26"/>
      <c r="H53" s="2"/>
      <c r="I53" s="2"/>
      <c r="J53" s="2"/>
      <c r="K53" s="2"/>
      <c r="L53" s="2"/>
      <c r="M53" s="49"/>
      <c r="N53" s="2"/>
      <c r="O53" s="49"/>
      <c r="P53" s="2"/>
      <c r="Q53" s="27"/>
      <c r="R53" s="27"/>
      <c r="S53" s="2"/>
      <c r="T53" s="1"/>
    </row>
    <row r="54" spans="1:20" ht="13">
      <c r="A54" s="6"/>
      <c r="B54" s="4"/>
      <c r="C54" s="1"/>
      <c r="D54" s="8"/>
      <c r="E54" s="8"/>
      <c r="F54" s="1"/>
      <c r="G54" s="26"/>
      <c r="H54" s="2"/>
      <c r="I54" s="2"/>
      <c r="J54" s="2"/>
      <c r="K54" s="2"/>
      <c r="L54" s="2"/>
      <c r="M54" s="49"/>
      <c r="N54" s="2"/>
      <c r="O54" s="49"/>
      <c r="P54" s="2"/>
      <c r="Q54" s="27"/>
      <c r="R54" s="27"/>
      <c r="S54" s="2"/>
      <c r="T54" s="1"/>
    </row>
    <row r="55" spans="1:20" ht="13">
      <c r="A55" s="6"/>
      <c r="B55" s="4"/>
      <c r="C55" s="1"/>
      <c r="D55" s="8"/>
      <c r="E55" s="8"/>
      <c r="F55" s="1"/>
      <c r="G55" s="26"/>
      <c r="H55" s="2"/>
      <c r="I55" s="2"/>
      <c r="J55" s="2"/>
      <c r="K55" s="2"/>
      <c r="L55" s="2"/>
      <c r="M55" s="49"/>
      <c r="N55" s="2"/>
      <c r="O55" s="49"/>
      <c r="P55" s="2"/>
      <c r="Q55" s="27"/>
      <c r="R55" s="27"/>
      <c r="S55" s="2"/>
      <c r="T55" s="1"/>
    </row>
    <row r="56" spans="1:20" ht="13">
      <c r="A56" s="6"/>
      <c r="B56" s="4"/>
      <c r="C56" s="1"/>
      <c r="D56" s="8"/>
      <c r="E56" s="8"/>
      <c r="F56" s="1"/>
      <c r="G56" s="26"/>
      <c r="H56" s="2"/>
      <c r="I56" s="2"/>
      <c r="J56" s="2"/>
      <c r="K56" s="2"/>
      <c r="L56" s="2"/>
      <c r="M56" s="49"/>
      <c r="N56" s="2"/>
      <c r="O56" s="49"/>
      <c r="P56" s="2"/>
      <c r="Q56" s="27"/>
      <c r="R56" s="27"/>
      <c r="S56" s="2"/>
      <c r="T56" s="1"/>
    </row>
    <row r="57" spans="1:20" ht="13">
      <c r="A57" s="38" t="str">
        <f>+$A$1</f>
        <v>ABC Marine</v>
      </c>
      <c r="B57" s="33"/>
      <c r="C57" s="33"/>
      <c r="D57" s="33"/>
      <c r="E57" s="33"/>
      <c r="F57" s="33"/>
      <c r="G57" s="41"/>
      <c r="H57" s="33"/>
      <c r="I57" s="33"/>
      <c r="J57" s="33"/>
      <c r="K57" s="33"/>
      <c r="L57" s="33"/>
      <c r="M57" s="46"/>
      <c r="N57" s="33"/>
      <c r="O57" s="46"/>
      <c r="P57" s="33"/>
      <c r="Q57" s="52"/>
      <c r="R57" s="52"/>
      <c r="S57" s="33"/>
      <c r="T57" s="33"/>
    </row>
    <row r="58" spans="1:20" ht="13">
      <c r="A58" s="37">
        <f ca="1">+$A$2</f>
        <v>41278</v>
      </c>
      <c r="B58" s="4"/>
      <c r="C58" s="1"/>
      <c r="D58" s="8"/>
      <c r="E58" s="8"/>
      <c r="F58" s="1"/>
      <c r="G58" s="26"/>
      <c r="H58" s="2"/>
      <c r="I58" s="2"/>
      <c r="J58" s="2"/>
      <c r="K58" s="2"/>
      <c r="L58" s="2"/>
      <c r="M58" s="49"/>
      <c r="N58" s="2"/>
      <c r="O58" s="49"/>
      <c r="P58" s="2"/>
      <c r="Q58" s="27"/>
      <c r="R58" s="27"/>
      <c r="S58" s="2"/>
      <c r="T58" s="1"/>
    </row>
    <row r="59" spans="1:20" ht="13">
      <c r="A59" s="144" t="s">
        <v>67</v>
      </c>
      <c r="B59" s="4"/>
      <c r="C59" s="1"/>
      <c r="D59" s="3"/>
      <c r="E59" s="3"/>
      <c r="F59" s="1"/>
      <c r="G59" s="26"/>
      <c r="H59" s="2"/>
      <c r="I59" s="2"/>
      <c r="J59" s="2"/>
      <c r="K59" s="2"/>
      <c r="L59" s="2"/>
      <c r="M59" s="49"/>
      <c r="N59" s="2"/>
      <c r="O59" s="49"/>
      <c r="P59" s="2"/>
      <c r="Q59" s="27"/>
      <c r="R59" s="27"/>
      <c r="S59" s="2"/>
      <c r="T59" s="1"/>
    </row>
    <row r="60" spans="1:20" ht="52">
      <c r="A60" s="12" t="s">
        <v>247</v>
      </c>
      <c r="B60" s="143" t="s">
        <v>301</v>
      </c>
      <c r="C60" s="96" t="s">
        <v>239</v>
      </c>
      <c r="D60" s="142" t="s">
        <v>302</v>
      </c>
      <c r="E60" s="101" t="s">
        <v>250</v>
      </c>
      <c r="F60" s="96" t="s">
        <v>271</v>
      </c>
      <c r="G60" s="106" t="s">
        <v>268</v>
      </c>
      <c r="H60" s="29" t="s">
        <v>263</v>
      </c>
      <c r="I60" s="142" t="s">
        <v>307</v>
      </c>
      <c r="J60" s="101"/>
      <c r="K60" s="101" t="s">
        <v>265</v>
      </c>
      <c r="L60" s="101" t="s">
        <v>273</v>
      </c>
      <c r="M60" s="110" t="s">
        <v>309</v>
      </c>
      <c r="N60" s="2"/>
      <c r="O60" s="114" t="s">
        <v>275</v>
      </c>
      <c r="P60" s="102" t="s">
        <v>260</v>
      </c>
      <c r="Q60" s="96" t="s">
        <v>266</v>
      </c>
      <c r="R60" s="12" t="s">
        <v>262</v>
      </c>
      <c r="S60" s="2"/>
      <c r="T60" s="1"/>
    </row>
    <row r="61" spans="1:20" ht="13">
      <c r="A61" s="5"/>
      <c r="B61" s="4"/>
      <c r="C61" s="1"/>
      <c r="D61" s="8"/>
      <c r="E61" s="8"/>
      <c r="F61" s="1"/>
      <c r="G61" s="43"/>
      <c r="H61" s="112">
        <v>5</v>
      </c>
      <c r="I61" s="8"/>
      <c r="J61" s="8"/>
      <c r="K61" s="8"/>
      <c r="L61" s="8"/>
      <c r="M61" s="51"/>
      <c r="N61" s="8"/>
      <c r="O61" s="121"/>
      <c r="P61" s="127" t="s">
        <v>203</v>
      </c>
      <c r="Q61" s="58"/>
      <c r="R61" s="58"/>
      <c r="S61" s="8"/>
      <c r="T61" s="1"/>
    </row>
    <row r="62" spans="1:20" ht="13">
      <c r="A62" s="20" t="s">
        <v>7</v>
      </c>
      <c r="B62" s="20"/>
      <c r="C62" s="20"/>
      <c r="D62" s="20"/>
      <c r="E62" s="13"/>
      <c r="F62" s="4"/>
      <c r="G62" s="43"/>
      <c r="H62" s="111" t="s">
        <v>211</v>
      </c>
      <c r="I62" s="8"/>
      <c r="J62" s="8"/>
      <c r="K62" s="8"/>
      <c r="L62" s="8"/>
      <c r="M62" s="51"/>
      <c r="N62" s="8"/>
      <c r="O62" s="51"/>
      <c r="P62" s="121">
        <v>0</v>
      </c>
      <c r="Q62" s="58"/>
      <c r="R62" s="58"/>
      <c r="S62" s="8"/>
      <c r="T62" s="4"/>
    </row>
    <row r="63" spans="1:20" ht="13">
      <c r="A63" s="20" t="s">
        <v>136</v>
      </c>
      <c r="B63" s="4"/>
      <c r="C63" s="4"/>
      <c r="D63" s="8"/>
      <c r="E63" s="8"/>
      <c r="F63" s="4"/>
      <c r="G63" s="43"/>
      <c r="H63" s="8"/>
      <c r="I63" s="8"/>
      <c r="J63" s="8"/>
      <c r="K63" s="8"/>
      <c r="L63" s="8"/>
      <c r="M63" s="51"/>
      <c r="N63" s="8"/>
      <c r="O63" s="51"/>
      <c r="P63" s="8"/>
      <c r="Q63" s="58"/>
      <c r="R63" s="58"/>
      <c r="S63" s="8"/>
      <c r="T63" s="4"/>
    </row>
    <row r="64" spans="1:20" ht="13">
      <c r="A64" s="59" t="s">
        <v>168</v>
      </c>
      <c r="B64" s="1" t="s">
        <v>3</v>
      </c>
      <c r="C64" s="7" t="s">
        <v>0</v>
      </c>
      <c r="D64" s="22" t="e">
        <f t="shared" ref="D64:D76" si="18">SUM(H64+I64+J64)</f>
        <v>#VALUE!</v>
      </c>
      <c r="E64" s="2" t="s">
        <v>68</v>
      </c>
      <c r="F64" s="10" t="s">
        <v>170</v>
      </c>
      <c r="G64" s="26" t="s">
        <v>14</v>
      </c>
      <c r="H64" s="2" t="e">
        <f>SUM(G64*$H$61)</f>
        <v>#VALUE!</v>
      </c>
      <c r="I64" s="8" t="s">
        <v>114</v>
      </c>
      <c r="J64" s="2"/>
      <c r="K64" s="2" t="e">
        <f t="shared" ref="K64:K91" si="19">+P64/(1-M64)</f>
        <v>#VALUE!</v>
      </c>
      <c r="L64" s="39" t="e">
        <f t="shared" ref="L64:L91" si="20">+P64-K64</f>
        <v>#VALUE!</v>
      </c>
      <c r="M64" s="147" t="s">
        <v>310</v>
      </c>
      <c r="N64" s="2"/>
      <c r="O64" s="48" t="s">
        <v>311</v>
      </c>
      <c r="P64" s="2" t="e">
        <f t="shared" ref="P64:P76" si="21">(+D64/(1-O64))+$P$62</f>
        <v>#VALUE!</v>
      </c>
      <c r="Q64" s="68" t="e">
        <f t="shared" ref="Q64:Q91" ca="1" si="22">$A$2-F64</f>
        <v>#VALUE!</v>
      </c>
      <c r="R64" s="56" t="s">
        <v>105</v>
      </c>
      <c r="S64" s="2"/>
      <c r="T64" s="4"/>
    </row>
    <row r="65" spans="1:20" ht="13">
      <c r="A65" s="59" t="s">
        <v>168</v>
      </c>
      <c r="B65" s="1" t="s">
        <v>3</v>
      </c>
      <c r="C65" s="7" t="s">
        <v>0</v>
      </c>
      <c r="D65" s="22" t="e">
        <f t="shared" si="18"/>
        <v>#VALUE!</v>
      </c>
      <c r="E65" s="2" t="s">
        <v>68</v>
      </c>
      <c r="F65" s="10" t="s">
        <v>170</v>
      </c>
      <c r="G65" s="26" t="s">
        <v>14</v>
      </c>
      <c r="H65" s="2" t="e">
        <f>SUM(G65*$H$61)</f>
        <v>#VALUE!</v>
      </c>
      <c r="I65" s="8" t="s">
        <v>114</v>
      </c>
      <c r="J65" s="2"/>
      <c r="K65" s="2" t="e">
        <f t="shared" si="19"/>
        <v>#VALUE!</v>
      </c>
      <c r="L65" s="39" t="e">
        <f t="shared" si="20"/>
        <v>#VALUE!</v>
      </c>
      <c r="M65" s="147" t="s">
        <v>310</v>
      </c>
      <c r="N65" s="2"/>
      <c r="O65" s="48" t="s">
        <v>311</v>
      </c>
      <c r="P65" s="2" t="e">
        <f t="shared" si="21"/>
        <v>#VALUE!</v>
      </c>
      <c r="Q65" s="68" t="e">
        <f t="shared" ca="1" si="22"/>
        <v>#VALUE!</v>
      </c>
      <c r="R65" s="56" t="s">
        <v>105</v>
      </c>
      <c r="S65" s="2"/>
      <c r="T65" s="1"/>
    </row>
    <row r="66" spans="1:20" ht="13">
      <c r="A66" s="59" t="s">
        <v>168</v>
      </c>
      <c r="B66" s="1" t="s">
        <v>3</v>
      </c>
      <c r="C66" s="7" t="s">
        <v>0</v>
      </c>
      <c r="D66" s="22" t="e">
        <f t="shared" si="18"/>
        <v>#VALUE!</v>
      </c>
      <c r="E66" s="2" t="s">
        <v>68</v>
      </c>
      <c r="F66" s="10" t="s">
        <v>170</v>
      </c>
      <c r="G66" s="26" t="s">
        <v>14</v>
      </c>
      <c r="H66" s="2" t="e">
        <f t="shared" ref="H66:H76" si="23">SUM(G66*5)</f>
        <v>#VALUE!</v>
      </c>
      <c r="I66" s="8" t="s">
        <v>114</v>
      </c>
      <c r="J66" s="2"/>
      <c r="K66" s="2" t="e">
        <f t="shared" si="19"/>
        <v>#VALUE!</v>
      </c>
      <c r="L66" s="39" t="e">
        <f t="shared" si="20"/>
        <v>#VALUE!</v>
      </c>
      <c r="M66" s="147" t="s">
        <v>310</v>
      </c>
      <c r="N66" s="2"/>
      <c r="O66" s="48" t="s">
        <v>311</v>
      </c>
      <c r="P66" s="2" t="e">
        <f t="shared" si="21"/>
        <v>#VALUE!</v>
      </c>
      <c r="Q66" s="68" t="e">
        <f t="shared" ca="1" si="22"/>
        <v>#VALUE!</v>
      </c>
      <c r="R66" s="56" t="s">
        <v>105</v>
      </c>
      <c r="S66" s="2"/>
      <c r="T66" s="1"/>
    </row>
    <row r="67" spans="1:20" ht="13">
      <c r="A67" s="59" t="s">
        <v>168</v>
      </c>
      <c r="B67" s="1" t="s">
        <v>3</v>
      </c>
      <c r="C67" s="7" t="s">
        <v>0</v>
      </c>
      <c r="D67" s="22" t="e">
        <f t="shared" si="18"/>
        <v>#VALUE!</v>
      </c>
      <c r="E67" s="2" t="s">
        <v>68</v>
      </c>
      <c r="F67" s="10" t="s">
        <v>170</v>
      </c>
      <c r="G67" s="26" t="s">
        <v>14</v>
      </c>
      <c r="H67" s="2" t="e">
        <f t="shared" si="23"/>
        <v>#VALUE!</v>
      </c>
      <c r="I67" s="8" t="s">
        <v>114</v>
      </c>
      <c r="J67" s="2"/>
      <c r="K67" s="2" t="e">
        <f t="shared" si="19"/>
        <v>#VALUE!</v>
      </c>
      <c r="L67" s="39" t="e">
        <f t="shared" si="20"/>
        <v>#VALUE!</v>
      </c>
      <c r="M67" s="147" t="s">
        <v>310</v>
      </c>
      <c r="N67" s="2"/>
      <c r="O67" s="48" t="s">
        <v>311</v>
      </c>
      <c r="P67" s="2" t="e">
        <f t="shared" si="21"/>
        <v>#VALUE!</v>
      </c>
      <c r="Q67" s="68" t="e">
        <f t="shared" ca="1" si="22"/>
        <v>#VALUE!</v>
      </c>
      <c r="R67" s="56" t="s">
        <v>105</v>
      </c>
      <c r="S67" s="2"/>
      <c r="T67" s="4"/>
    </row>
    <row r="68" spans="1:20" ht="13">
      <c r="A68" s="59" t="s">
        <v>168</v>
      </c>
      <c r="B68" s="1" t="s">
        <v>3</v>
      </c>
      <c r="C68" s="7" t="s">
        <v>0</v>
      </c>
      <c r="D68" s="22" t="e">
        <f t="shared" si="18"/>
        <v>#VALUE!</v>
      </c>
      <c r="E68" s="2" t="s">
        <v>68</v>
      </c>
      <c r="F68" s="10" t="s">
        <v>170</v>
      </c>
      <c r="G68" s="26" t="s">
        <v>14</v>
      </c>
      <c r="H68" s="2" t="e">
        <f t="shared" si="23"/>
        <v>#VALUE!</v>
      </c>
      <c r="I68" s="8" t="s">
        <v>114</v>
      </c>
      <c r="J68" s="2"/>
      <c r="K68" s="2" t="e">
        <f t="shared" si="19"/>
        <v>#VALUE!</v>
      </c>
      <c r="L68" s="39" t="e">
        <f t="shared" si="20"/>
        <v>#VALUE!</v>
      </c>
      <c r="M68" s="147" t="s">
        <v>310</v>
      </c>
      <c r="N68" s="2"/>
      <c r="O68" s="48" t="s">
        <v>311</v>
      </c>
      <c r="P68" s="2" t="e">
        <f t="shared" si="21"/>
        <v>#VALUE!</v>
      </c>
      <c r="Q68" s="68" t="e">
        <f t="shared" ca="1" si="22"/>
        <v>#VALUE!</v>
      </c>
      <c r="R68" s="56" t="s">
        <v>105</v>
      </c>
      <c r="S68" s="2"/>
      <c r="T68" s="4"/>
    </row>
    <row r="69" spans="1:20" ht="13">
      <c r="A69" s="59" t="s">
        <v>168</v>
      </c>
      <c r="B69" s="1" t="s">
        <v>3</v>
      </c>
      <c r="C69" s="7" t="s">
        <v>0</v>
      </c>
      <c r="D69" s="22" t="e">
        <f t="shared" si="18"/>
        <v>#VALUE!</v>
      </c>
      <c r="E69" s="71" t="s">
        <v>69</v>
      </c>
      <c r="F69" s="10" t="s">
        <v>170</v>
      </c>
      <c r="G69" s="26" t="s">
        <v>14</v>
      </c>
      <c r="H69" s="2" t="e">
        <f t="shared" si="23"/>
        <v>#VALUE!</v>
      </c>
      <c r="I69" s="8" t="s">
        <v>114</v>
      </c>
      <c r="J69" s="2"/>
      <c r="K69" s="2" t="e">
        <f t="shared" si="19"/>
        <v>#VALUE!</v>
      </c>
      <c r="L69" s="39" t="e">
        <f t="shared" si="20"/>
        <v>#VALUE!</v>
      </c>
      <c r="M69" s="147" t="s">
        <v>310</v>
      </c>
      <c r="N69" s="2"/>
      <c r="O69" s="48" t="s">
        <v>311</v>
      </c>
      <c r="P69" s="2" t="e">
        <f t="shared" si="21"/>
        <v>#VALUE!</v>
      </c>
      <c r="Q69" s="68" t="e">
        <f t="shared" ca="1" si="22"/>
        <v>#VALUE!</v>
      </c>
      <c r="R69" s="56" t="s">
        <v>105</v>
      </c>
      <c r="S69" s="2"/>
      <c r="T69" s="4"/>
    </row>
    <row r="70" spans="1:20" ht="13">
      <c r="A70" s="59" t="s">
        <v>168</v>
      </c>
      <c r="B70" s="1" t="s">
        <v>3</v>
      </c>
      <c r="C70" s="7" t="s">
        <v>0</v>
      </c>
      <c r="D70" s="22" t="e">
        <f t="shared" si="18"/>
        <v>#VALUE!</v>
      </c>
      <c r="E70" s="71" t="s">
        <v>69</v>
      </c>
      <c r="F70" s="10" t="s">
        <v>170</v>
      </c>
      <c r="G70" s="26" t="s">
        <v>14</v>
      </c>
      <c r="H70" s="2" t="e">
        <f t="shared" si="23"/>
        <v>#VALUE!</v>
      </c>
      <c r="I70" s="8" t="s">
        <v>114</v>
      </c>
      <c r="J70" s="2"/>
      <c r="K70" s="2" t="e">
        <f t="shared" si="19"/>
        <v>#VALUE!</v>
      </c>
      <c r="L70" s="39" t="e">
        <f t="shared" si="20"/>
        <v>#VALUE!</v>
      </c>
      <c r="M70" s="147" t="s">
        <v>310</v>
      </c>
      <c r="N70" s="2"/>
      <c r="O70" s="48" t="s">
        <v>311</v>
      </c>
      <c r="P70" s="2" t="e">
        <f t="shared" si="21"/>
        <v>#VALUE!</v>
      </c>
      <c r="Q70" s="68" t="e">
        <f t="shared" ca="1" si="22"/>
        <v>#VALUE!</v>
      </c>
      <c r="R70" s="56" t="s">
        <v>105</v>
      </c>
      <c r="S70" s="2"/>
      <c r="T70" s="4"/>
    </row>
    <row r="71" spans="1:20" ht="13">
      <c r="A71" s="59" t="s">
        <v>168</v>
      </c>
      <c r="B71" s="1" t="s">
        <v>3</v>
      </c>
      <c r="C71" s="7" t="s">
        <v>0</v>
      </c>
      <c r="D71" s="22" t="e">
        <f t="shared" si="18"/>
        <v>#VALUE!</v>
      </c>
      <c r="E71" s="71" t="s">
        <v>69</v>
      </c>
      <c r="F71" s="10" t="s">
        <v>170</v>
      </c>
      <c r="G71" s="26" t="s">
        <v>14</v>
      </c>
      <c r="H71" s="2" t="e">
        <f t="shared" si="23"/>
        <v>#VALUE!</v>
      </c>
      <c r="I71" s="8" t="s">
        <v>114</v>
      </c>
      <c r="J71" s="2"/>
      <c r="K71" s="2" t="e">
        <f t="shared" si="19"/>
        <v>#VALUE!</v>
      </c>
      <c r="L71" s="39" t="e">
        <f t="shared" si="20"/>
        <v>#VALUE!</v>
      </c>
      <c r="M71" s="147" t="s">
        <v>310</v>
      </c>
      <c r="N71" s="2"/>
      <c r="O71" s="48" t="s">
        <v>311</v>
      </c>
      <c r="P71" s="2" t="e">
        <f t="shared" si="21"/>
        <v>#VALUE!</v>
      </c>
      <c r="Q71" s="68" t="e">
        <f t="shared" ca="1" si="22"/>
        <v>#VALUE!</v>
      </c>
      <c r="R71" s="56" t="s">
        <v>105</v>
      </c>
      <c r="S71" s="2"/>
      <c r="T71" s="1"/>
    </row>
    <row r="72" spans="1:20" ht="13">
      <c r="A72" s="59" t="s">
        <v>168</v>
      </c>
      <c r="B72" s="1" t="s">
        <v>3</v>
      </c>
      <c r="C72" s="7" t="s">
        <v>0</v>
      </c>
      <c r="D72" s="22" t="e">
        <f t="shared" si="18"/>
        <v>#VALUE!</v>
      </c>
      <c r="E72" s="71" t="s">
        <v>69</v>
      </c>
      <c r="F72" s="10" t="s">
        <v>170</v>
      </c>
      <c r="G72" s="26" t="s">
        <v>14</v>
      </c>
      <c r="H72" s="2" t="e">
        <f t="shared" si="23"/>
        <v>#VALUE!</v>
      </c>
      <c r="I72" s="8" t="s">
        <v>114</v>
      </c>
      <c r="J72" s="2"/>
      <c r="K72" s="2" t="e">
        <f t="shared" si="19"/>
        <v>#VALUE!</v>
      </c>
      <c r="L72" s="39" t="e">
        <f t="shared" si="20"/>
        <v>#VALUE!</v>
      </c>
      <c r="M72" s="147" t="s">
        <v>310</v>
      </c>
      <c r="N72" s="2"/>
      <c r="O72" s="48" t="s">
        <v>311</v>
      </c>
      <c r="P72" s="2" t="e">
        <f t="shared" si="21"/>
        <v>#VALUE!</v>
      </c>
      <c r="Q72" s="68" t="e">
        <f t="shared" ca="1" si="22"/>
        <v>#VALUE!</v>
      </c>
      <c r="R72" s="56" t="s">
        <v>105</v>
      </c>
      <c r="S72" s="2"/>
      <c r="T72" s="4"/>
    </row>
    <row r="73" spans="1:20" ht="13">
      <c r="A73" s="59" t="s">
        <v>168</v>
      </c>
      <c r="B73" s="1" t="s">
        <v>3</v>
      </c>
      <c r="C73" s="7" t="s">
        <v>0</v>
      </c>
      <c r="D73" s="22" t="e">
        <f t="shared" si="18"/>
        <v>#VALUE!</v>
      </c>
      <c r="E73" s="71" t="s">
        <v>69</v>
      </c>
      <c r="F73" s="10" t="s">
        <v>170</v>
      </c>
      <c r="G73" s="26" t="s">
        <v>14</v>
      </c>
      <c r="H73" s="2" t="e">
        <f t="shared" si="23"/>
        <v>#VALUE!</v>
      </c>
      <c r="I73" s="8" t="s">
        <v>114</v>
      </c>
      <c r="J73" s="2"/>
      <c r="K73" s="2" t="e">
        <f t="shared" si="19"/>
        <v>#VALUE!</v>
      </c>
      <c r="L73" s="39" t="e">
        <f t="shared" si="20"/>
        <v>#VALUE!</v>
      </c>
      <c r="M73" s="147" t="s">
        <v>310</v>
      </c>
      <c r="N73" s="2"/>
      <c r="O73" s="48" t="s">
        <v>311</v>
      </c>
      <c r="P73" s="2" t="e">
        <f t="shared" si="21"/>
        <v>#VALUE!</v>
      </c>
      <c r="Q73" s="68" t="e">
        <f t="shared" ca="1" si="22"/>
        <v>#VALUE!</v>
      </c>
      <c r="R73" s="56" t="s">
        <v>105</v>
      </c>
      <c r="S73" s="2"/>
      <c r="T73" s="4"/>
    </row>
    <row r="74" spans="1:20" ht="13">
      <c r="A74" s="59" t="s">
        <v>168</v>
      </c>
      <c r="B74" s="1" t="s">
        <v>3</v>
      </c>
      <c r="C74" s="7" t="s">
        <v>0</v>
      </c>
      <c r="D74" s="22" t="e">
        <f t="shared" si="18"/>
        <v>#VALUE!</v>
      </c>
      <c r="E74" s="71" t="s">
        <v>69</v>
      </c>
      <c r="F74" s="10" t="s">
        <v>170</v>
      </c>
      <c r="G74" s="26" t="s">
        <v>14</v>
      </c>
      <c r="H74" s="2" t="e">
        <f t="shared" si="23"/>
        <v>#VALUE!</v>
      </c>
      <c r="I74" s="8" t="s">
        <v>114</v>
      </c>
      <c r="J74" s="2"/>
      <c r="K74" s="2" t="e">
        <f t="shared" si="19"/>
        <v>#VALUE!</v>
      </c>
      <c r="L74" s="39" t="e">
        <f t="shared" si="20"/>
        <v>#VALUE!</v>
      </c>
      <c r="M74" s="147" t="s">
        <v>310</v>
      </c>
      <c r="N74" s="2"/>
      <c r="O74" s="48" t="s">
        <v>311</v>
      </c>
      <c r="P74" s="2" t="e">
        <f t="shared" si="21"/>
        <v>#VALUE!</v>
      </c>
      <c r="Q74" s="68" t="e">
        <f t="shared" ca="1" si="22"/>
        <v>#VALUE!</v>
      </c>
      <c r="R74" s="56" t="s">
        <v>105</v>
      </c>
      <c r="S74" s="2"/>
      <c r="T74" s="4"/>
    </row>
    <row r="75" spans="1:20" ht="13">
      <c r="A75" s="59" t="s">
        <v>168</v>
      </c>
      <c r="B75" s="1" t="s">
        <v>3</v>
      </c>
      <c r="C75" s="7" t="s">
        <v>0</v>
      </c>
      <c r="D75" s="22" t="e">
        <f t="shared" si="18"/>
        <v>#VALUE!</v>
      </c>
      <c r="E75" s="71" t="s">
        <v>69</v>
      </c>
      <c r="F75" s="10" t="s">
        <v>170</v>
      </c>
      <c r="G75" s="26" t="s">
        <v>14</v>
      </c>
      <c r="H75" s="2" t="e">
        <f t="shared" si="23"/>
        <v>#VALUE!</v>
      </c>
      <c r="I75" s="8" t="s">
        <v>114</v>
      </c>
      <c r="J75" s="2"/>
      <c r="K75" s="2" t="e">
        <f t="shared" si="19"/>
        <v>#VALUE!</v>
      </c>
      <c r="L75" s="39" t="e">
        <f t="shared" si="20"/>
        <v>#VALUE!</v>
      </c>
      <c r="M75" s="147" t="s">
        <v>310</v>
      </c>
      <c r="N75" s="2"/>
      <c r="O75" s="48" t="s">
        <v>311</v>
      </c>
      <c r="P75" s="2" t="e">
        <f t="shared" si="21"/>
        <v>#VALUE!</v>
      </c>
      <c r="Q75" s="68" t="e">
        <f t="shared" ca="1" si="22"/>
        <v>#VALUE!</v>
      </c>
      <c r="R75" s="56" t="s">
        <v>105</v>
      </c>
      <c r="S75" s="2"/>
      <c r="T75" s="4"/>
    </row>
    <row r="76" spans="1:20" ht="13">
      <c r="A76" s="59" t="s">
        <v>168</v>
      </c>
      <c r="B76" s="1" t="s">
        <v>3</v>
      </c>
      <c r="C76" s="7" t="s">
        <v>0</v>
      </c>
      <c r="D76" s="22" t="e">
        <f t="shared" si="18"/>
        <v>#VALUE!</v>
      </c>
      <c r="E76" s="71" t="s">
        <v>69</v>
      </c>
      <c r="F76" s="10" t="s">
        <v>170</v>
      </c>
      <c r="G76" s="26" t="s">
        <v>14</v>
      </c>
      <c r="H76" s="2" t="e">
        <f t="shared" si="23"/>
        <v>#VALUE!</v>
      </c>
      <c r="I76" s="8" t="s">
        <v>114</v>
      </c>
      <c r="J76" s="2"/>
      <c r="K76" s="2" t="e">
        <f t="shared" si="19"/>
        <v>#VALUE!</v>
      </c>
      <c r="L76" s="39" t="e">
        <f t="shared" si="20"/>
        <v>#VALUE!</v>
      </c>
      <c r="M76" s="147" t="s">
        <v>310</v>
      </c>
      <c r="N76" s="2"/>
      <c r="O76" s="48" t="s">
        <v>311</v>
      </c>
      <c r="P76" s="2" t="e">
        <f t="shared" si="21"/>
        <v>#VALUE!</v>
      </c>
      <c r="Q76" s="68" t="e">
        <f t="shared" ca="1" si="22"/>
        <v>#VALUE!</v>
      </c>
      <c r="R76" s="56" t="s">
        <v>105</v>
      </c>
      <c r="S76" s="2"/>
      <c r="T76" s="4"/>
    </row>
    <row r="77" spans="1:20" ht="13">
      <c r="A77" s="7"/>
      <c r="B77" s="4"/>
      <c r="C77" s="7"/>
      <c r="D77" s="22"/>
      <c r="E77" s="2"/>
      <c r="F77" s="11"/>
      <c r="G77" s="43"/>
      <c r="H77" s="2"/>
      <c r="I77" s="25"/>
      <c r="J77" s="2"/>
      <c r="K77" s="2"/>
      <c r="L77" s="39"/>
      <c r="M77" s="49"/>
      <c r="N77" s="2"/>
      <c r="O77" s="48"/>
      <c r="P77" s="2"/>
      <c r="Q77" s="68"/>
      <c r="R77" s="56"/>
      <c r="S77" s="8"/>
      <c r="T77" s="4"/>
    </row>
    <row r="78" spans="1:20" ht="13">
      <c r="A78" s="20" t="s">
        <v>150</v>
      </c>
      <c r="B78" s="4"/>
      <c r="C78" s="7"/>
      <c r="D78" s="22"/>
      <c r="E78" s="2"/>
      <c r="F78" s="11"/>
      <c r="G78" s="43"/>
      <c r="H78" s="2"/>
      <c r="I78" s="25"/>
      <c r="J78" s="2"/>
      <c r="K78" s="2"/>
      <c r="L78" s="39"/>
      <c r="M78" s="49"/>
      <c r="N78" s="2"/>
      <c r="O78" s="48"/>
      <c r="P78" s="2"/>
      <c r="Q78" s="68"/>
      <c r="R78" s="56"/>
      <c r="S78" s="2"/>
      <c r="T78" s="4"/>
    </row>
    <row r="79" spans="1:20" ht="13">
      <c r="A79" s="59" t="s">
        <v>168</v>
      </c>
      <c r="B79" s="1" t="s">
        <v>3</v>
      </c>
      <c r="C79" s="7" t="s">
        <v>0</v>
      </c>
      <c r="D79" s="22" t="e">
        <f t="shared" ref="D79:D86" si="24">SUM(H79+I79+J79)</f>
        <v>#VALUE!</v>
      </c>
      <c r="E79" s="2" t="s">
        <v>68</v>
      </c>
      <c r="F79" s="10" t="s">
        <v>170</v>
      </c>
      <c r="G79" s="26" t="s">
        <v>14</v>
      </c>
      <c r="H79" s="2" t="e">
        <f t="shared" ref="H79:H91" si="25">SUM(G79*5)</f>
        <v>#VALUE!</v>
      </c>
      <c r="I79" s="8" t="s">
        <v>114</v>
      </c>
      <c r="J79" s="2"/>
      <c r="K79" s="2" t="e">
        <f t="shared" si="19"/>
        <v>#VALUE!</v>
      </c>
      <c r="L79" s="39" t="e">
        <f t="shared" si="20"/>
        <v>#VALUE!</v>
      </c>
      <c r="M79" s="147" t="s">
        <v>310</v>
      </c>
      <c r="N79" s="2"/>
      <c r="O79" s="48" t="s">
        <v>311</v>
      </c>
      <c r="P79" s="2" t="e">
        <f t="shared" ref="P79:P86" si="26">(+D79/(1-O79))+$P$62</f>
        <v>#VALUE!</v>
      </c>
      <c r="Q79" s="68" t="e">
        <f t="shared" ca="1" si="22"/>
        <v>#VALUE!</v>
      </c>
      <c r="R79" s="56" t="s">
        <v>105</v>
      </c>
      <c r="S79" s="2"/>
      <c r="T79" s="1"/>
    </row>
    <row r="80" spans="1:20" ht="13">
      <c r="A80" s="59" t="s">
        <v>168</v>
      </c>
      <c r="B80" s="1" t="s">
        <v>3</v>
      </c>
      <c r="C80" s="7" t="s">
        <v>0</v>
      </c>
      <c r="D80" s="22" t="e">
        <f t="shared" si="24"/>
        <v>#VALUE!</v>
      </c>
      <c r="E80" s="2" t="s">
        <v>68</v>
      </c>
      <c r="F80" s="10" t="s">
        <v>170</v>
      </c>
      <c r="G80" s="26" t="s">
        <v>14</v>
      </c>
      <c r="H80" s="2" t="e">
        <f t="shared" si="25"/>
        <v>#VALUE!</v>
      </c>
      <c r="I80" s="8" t="s">
        <v>114</v>
      </c>
      <c r="J80" s="2"/>
      <c r="K80" s="2" t="e">
        <f t="shared" si="19"/>
        <v>#VALUE!</v>
      </c>
      <c r="L80" s="39" t="e">
        <f t="shared" si="20"/>
        <v>#VALUE!</v>
      </c>
      <c r="M80" s="147" t="s">
        <v>310</v>
      </c>
      <c r="N80" s="2"/>
      <c r="O80" s="48" t="s">
        <v>311</v>
      </c>
      <c r="P80" s="2" t="e">
        <f t="shared" si="26"/>
        <v>#VALUE!</v>
      </c>
      <c r="Q80" s="68" t="e">
        <f t="shared" ca="1" si="22"/>
        <v>#VALUE!</v>
      </c>
      <c r="R80" s="56" t="s">
        <v>105</v>
      </c>
      <c r="S80" s="2"/>
      <c r="T80" s="1"/>
    </row>
    <row r="81" spans="1:20" ht="13">
      <c r="A81" s="59" t="s">
        <v>168</v>
      </c>
      <c r="B81" s="1" t="s">
        <v>3</v>
      </c>
      <c r="C81" s="7" t="s">
        <v>0</v>
      </c>
      <c r="D81" s="22" t="e">
        <f t="shared" si="24"/>
        <v>#VALUE!</v>
      </c>
      <c r="E81" s="2" t="s">
        <v>68</v>
      </c>
      <c r="F81" s="10" t="s">
        <v>170</v>
      </c>
      <c r="G81" s="26" t="s">
        <v>14</v>
      </c>
      <c r="H81" s="2" t="e">
        <f t="shared" si="25"/>
        <v>#VALUE!</v>
      </c>
      <c r="I81" s="8" t="s">
        <v>114</v>
      </c>
      <c r="J81" s="2"/>
      <c r="K81" s="2" t="e">
        <f t="shared" si="19"/>
        <v>#VALUE!</v>
      </c>
      <c r="L81" s="39" t="e">
        <f t="shared" si="20"/>
        <v>#VALUE!</v>
      </c>
      <c r="M81" s="147" t="s">
        <v>310</v>
      </c>
      <c r="N81" s="2"/>
      <c r="O81" s="48" t="s">
        <v>311</v>
      </c>
      <c r="P81" s="2" t="e">
        <f t="shared" si="26"/>
        <v>#VALUE!</v>
      </c>
      <c r="Q81" s="68" t="e">
        <f t="shared" ca="1" si="22"/>
        <v>#VALUE!</v>
      </c>
      <c r="R81" s="56" t="s">
        <v>105</v>
      </c>
      <c r="S81" s="2"/>
      <c r="T81" s="1"/>
    </row>
    <row r="82" spans="1:20" ht="13">
      <c r="A82" s="59" t="s">
        <v>168</v>
      </c>
      <c r="B82" s="1" t="s">
        <v>3</v>
      </c>
      <c r="C82" s="7" t="s">
        <v>0</v>
      </c>
      <c r="D82" s="22" t="e">
        <f t="shared" si="24"/>
        <v>#VALUE!</v>
      </c>
      <c r="E82" s="2" t="s">
        <v>68</v>
      </c>
      <c r="F82" s="10" t="s">
        <v>170</v>
      </c>
      <c r="G82" s="26" t="s">
        <v>14</v>
      </c>
      <c r="H82" s="2" t="e">
        <f t="shared" si="25"/>
        <v>#VALUE!</v>
      </c>
      <c r="I82" s="8" t="s">
        <v>114</v>
      </c>
      <c r="J82" s="2"/>
      <c r="K82" s="2" t="e">
        <f t="shared" si="19"/>
        <v>#VALUE!</v>
      </c>
      <c r="L82" s="39" t="e">
        <f t="shared" si="20"/>
        <v>#VALUE!</v>
      </c>
      <c r="M82" s="147" t="s">
        <v>310</v>
      </c>
      <c r="N82" s="2"/>
      <c r="O82" s="48" t="s">
        <v>311</v>
      </c>
      <c r="P82" s="2" t="e">
        <f t="shared" si="26"/>
        <v>#VALUE!</v>
      </c>
      <c r="Q82" s="68" t="e">
        <f t="shared" ca="1" si="22"/>
        <v>#VALUE!</v>
      </c>
      <c r="R82" s="56" t="s">
        <v>105</v>
      </c>
      <c r="S82" s="2"/>
      <c r="T82" s="1"/>
    </row>
    <row r="83" spans="1:20" ht="13">
      <c r="A83" s="59" t="s">
        <v>168</v>
      </c>
      <c r="B83" s="1" t="s">
        <v>3</v>
      </c>
      <c r="C83" s="7" t="s">
        <v>0</v>
      </c>
      <c r="D83" s="22" t="e">
        <f t="shared" si="24"/>
        <v>#VALUE!</v>
      </c>
      <c r="E83" s="2" t="s">
        <v>68</v>
      </c>
      <c r="F83" s="10" t="s">
        <v>170</v>
      </c>
      <c r="G83" s="26" t="s">
        <v>14</v>
      </c>
      <c r="H83" s="2" t="e">
        <f t="shared" si="25"/>
        <v>#VALUE!</v>
      </c>
      <c r="I83" s="8" t="s">
        <v>114</v>
      </c>
      <c r="J83" s="2"/>
      <c r="K83" s="2" t="e">
        <f t="shared" si="19"/>
        <v>#VALUE!</v>
      </c>
      <c r="L83" s="39" t="e">
        <f t="shared" si="20"/>
        <v>#VALUE!</v>
      </c>
      <c r="M83" s="147" t="s">
        <v>310</v>
      </c>
      <c r="N83" s="2"/>
      <c r="O83" s="48" t="s">
        <v>311</v>
      </c>
      <c r="P83" s="2" t="e">
        <f t="shared" si="26"/>
        <v>#VALUE!</v>
      </c>
      <c r="Q83" s="68" t="e">
        <f t="shared" ca="1" si="22"/>
        <v>#VALUE!</v>
      </c>
      <c r="R83" s="56" t="s">
        <v>105</v>
      </c>
      <c r="S83" s="2"/>
      <c r="T83" s="1"/>
    </row>
    <row r="84" spans="1:20" ht="13">
      <c r="A84" s="59" t="s">
        <v>168</v>
      </c>
      <c r="B84" s="1" t="s">
        <v>3</v>
      </c>
      <c r="C84" s="7" t="s">
        <v>0</v>
      </c>
      <c r="D84" s="22" t="e">
        <f t="shared" si="24"/>
        <v>#VALUE!</v>
      </c>
      <c r="E84" s="71" t="s">
        <v>69</v>
      </c>
      <c r="F84" s="10" t="s">
        <v>170</v>
      </c>
      <c r="G84" s="26" t="s">
        <v>14</v>
      </c>
      <c r="H84" s="2" t="e">
        <f t="shared" si="25"/>
        <v>#VALUE!</v>
      </c>
      <c r="I84" s="8" t="s">
        <v>114</v>
      </c>
      <c r="J84" s="2"/>
      <c r="K84" s="2" t="e">
        <f t="shared" si="19"/>
        <v>#VALUE!</v>
      </c>
      <c r="L84" s="39" t="e">
        <f t="shared" si="20"/>
        <v>#VALUE!</v>
      </c>
      <c r="M84" s="147" t="s">
        <v>310</v>
      </c>
      <c r="N84" s="2"/>
      <c r="O84" s="48" t="s">
        <v>311</v>
      </c>
      <c r="P84" s="2" t="e">
        <f t="shared" si="26"/>
        <v>#VALUE!</v>
      </c>
      <c r="Q84" s="68" t="e">
        <f t="shared" ca="1" si="22"/>
        <v>#VALUE!</v>
      </c>
      <c r="R84" s="56" t="s">
        <v>105</v>
      </c>
      <c r="S84" s="2"/>
      <c r="T84" s="1"/>
    </row>
    <row r="85" spans="1:20" ht="13">
      <c r="A85" s="59" t="s">
        <v>168</v>
      </c>
      <c r="B85" s="1" t="s">
        <v>3</v>
      </c>
      <c r="C85" s="7" t="s">
        <v>0</v>
      </c>
      <c r="D85" s="22" t="e">
        <f t="shared" si="24"/>
        <v>#VALUE!</v>
      </c>
      <c r="E85" s="71" t="s">
        <v>69</v>
      </c>
      <c r="F85" s="10" t="s">
        <v>170</v>
      </c>
      <c r="G85" s="26" t="s">
        <v>14</v>
      </c>
      <c r="H85" s="2" t="e">
        <f t="shared" si="25"/>
        <v>#VALUE!</v>
      </c>
      <c r="I85" s="8" t="s">
        <v>114</v>
      </c>
      <c r="J85" s="2"/>
      <c r="K85" s="2" t="e">
        <f t="shared" si="19"/>
        <v>#VALUE!</v>
      </c>
      <c r="L85" s="39" t="e">
        <f t="shared" si="20"/>
        <v>#VALUE!</v>
      </c>
      <c r="M85" s="147" t="s">
        <v>310</v>
      </c>
      <c r="N85" s="2"/>
      <c r="O85" s="48" t="s">
        <v>311</v>
      </c>
      <c r="P85" s="2" t="e">
        <f t="shared" si="26"/>
        <v>#VALUE!</v>
      </c>
      <c r="Q85" s="68" t="e">
        <f t="shared" ca="1" si="22"/>
        <v>#VALUE!</v>
      </c>
      <c r="R85" s="56" t="s">
        <v>105</v>
      </c>
      <c r="S85" s="2"/>
      <c r="T85" s="1"/>
    </row>
    <row r="86" spans="1:20" ht="13">
      <c r="A86" s="59" t="s">
        <v>168</v>
      </c>
      <c r="B86" s="1" t="s">
        <v>3</v>
      </c>
      <c r="C86" s="7" t="s">
        <v>0</v>
      </c>
      <c r="D86" s="22" t="e">
        <f t="shared" si="24"/>
        <v>#VALUE!</v>
      </c>
      <c r="E86" s="71" t="s">
        <v>69</v>
      </c>
      <c r="F86" s="10" t="s">
        <v>170</v>
      </c>
      <c r="G86" s="26" t="s">
        <v>14</v>
      </c>
      <c r="H86" s="2" t="e">
        <f t="shared" si="25"/>
        <v>#VALUE!</v>
      </c>
      <c r="I86" s="8" t="s">
        <v>114</v>
      </c>
      <c r="J86" s="2"/>
      <c r="K86" s="2" t="e">
        <f t="shared" si="19"/>
        <v>#VALUE!</v>
      </c>
      <c r="L86" s="39" t="e">
        <f t="shared" si="20"/>
        <v>#VALUE!</v>
      </c>
      <c r="M86" s="147" t="s">
        <v>310</v>
      </c>
      <c r="N86" s="2"/>
      <c r="O86" s="48" t="s">
        <v>311</v>
      </c>
      <c r="P86" s="2" t="e">
        <f t="shared" si="26"/>
        <v>#VALUE!</v>
      </c>
      <c r="Q86" s="68" t="e">
        <f t="shared" ca="1" si="22"/>
        <v>#VALUE!</v>
      </c>
      <c r="R86" s="56" t="s">
        <v>105</v>
      </c>
      <c r="S86" s="2"/>
      <c r="T86" s="4"/>
    </row>
    <row r="87" spans="1:20" ht="13">
      <c r="A87" s="7"/>
      <c r="B87" s="4"/>
      <c r="C87" s="7"/>
      <c r="D87" s="22"/>
      <c r="E87" s="2"/>
      <c r="F87" s="11"/>
      <c r="G87" s="43"/>
      <c r="H87" s="2"/>
      <c r="I87" s="8"/>
      <c r="J87" s="2"/>
      <c r="K87" s="2"/>
      <c r="L87" s="39"/>
      <c r="M87" s="49"/>
      <c r="N87" s="2"/>
      <c r="O87" s="48"/>
      <c r="P87" s="2"/>
      <c r="Q87" s="68"/>
      <c r="R87" s="56"/>
      <c r="S87" s="8"/>
      <c r="T87" s="4"/>
    </row>
    <row r="88" spans="1:20" ht="13">
      <c r="A88" s="23" t="s">
        <v>4</v>
      </c>
      <c r="B88" s="9"/>
      <c r="C88" s="40"/>
      <c r="D88" s="22"/>
      <c r="E88" s="2"/>
      <c r="F88" s="11"/>
      <c r="G88" s="43"/>
      <c r="H88" s="2"/>
      <c r="I88" s="32"/>
      <c r="J88" s="2"/>
      <c r="K88" s="2"/>
      <c r="L88" s="39"/>
      <c r="M88" s="49"/>
      <c r="N88" s="2"/>
      <c r="O88" s="48"/>
      <c r="P88" s="2"/>
      <c r="Q88" s="68"/>
      <c r="R88" s="56"/>
      <c r="S88" s="8"/>
      <c r="T88" s="4"/>
    </row>
    <row r="89" spans="1:20" ht="13">
      <c r="A89" s="59" t="s">
        <v>168</v>
      </c>
      <c r="B89" s="1" t="s">
        <v>3</v>
      </c>
      <c r="C89" s="7" t="s">
        <v>0</v>
      </c>
      <c r="D89" s="22" t="e">
        <f>SUM(H89+I89+J89)</f>
        <v>#VALUE!</v>
      </c>
      <c r="E89" s="2" t="s">
        <v>68</v>
      </c>
      <c r="F89" s="10" t="s">
        <v>170</v>
      </c>
      <c r="G89" s="26" t="s">
        <v>14</v>
      </c>
      <c r="H89" s="2" t="e">
        <f t="shared" si="25"/>
        <v>#VALUE!</v>
      </c>
      <c r="I89" s="8" t="s">
        <v>114</v>
      </c>
      <c r="J89" s="2"/>
      <c r="K89" s="2" t="e">
        <f t="shared" si="19"/>
        <v>#VALUE!</v>
      </c>
      <c r="L89" s="39" t="e">
        <f t="shared" si="20"/>
        <v>#VALUE!</v>
      </c>
      <c r="M89" s="147" t="s">
        <v>310</v>
      </c>
      <c r="N89" s="2"/>
      <c r="O89" s="48" t="s">
        <v>311</v>
      </c>
      <c r="P89" s="2" t="e">
        <f>(+D89/(1-O89))+$P$62</f>
        <v>#VALUE!</v>
      </c>
      <c r="Q89" s="68" t="e">
        <f t="shared" ca="1" si="22"/>
        <v>#VALUE!</v>
      </c>
      <c r="R89" s="56" t="s">
        <v>105</v>
      </c>
      <c r="S89" s="8"/>
      <c r="T89" s="4"/>
    </row>
    <row r="90" spans="1:20" ht="13">
      <c r="A90" s="59" t="s">
        <v>168</v>
      </c>
      <c r="B90" s="1" t="s">
        <v>3</v>
      </c>
      <c r="C90" s="7" t="s">
        <v>0</v>
      </c>
      <c r="D90" s="22" t="e">
        <f>SUM(H90+I90+J90)</f>
        <v>#VALUE!</v>
      </c>
      <c r="E90" s="2" t="s">
        <v>68</v>
      </c>
      <c r="F90" s="10" t="s">
        <v>170</v>
      </c>
      <c r="G90" s="26" t="s">
        <v>14</v>
      </c>
      <c r="H90" s="2" t="e">
        <f t="shared" si="25"/>
        <v>#VALUE!</v>
      </c>
      <c r="I90" s="8" t="s">
        <v>114</v>
      </c>
      <c r="J90" s="2"/>
      <c r="K90" s="2" t="e">
        <f t="shared" si="19"/>
        <v>#VALUE!</v>
      </c>
      <c r="L90" s="39" t="e">
        <f t="shared" si="20"/>
        <v>#VALUE!</v>
      </c>
      <c r="M90" s="147" t="s">
        <v>310</v>
      </c>
      <c r="N90" s="2"/>
      <c r="O90" s="48" t="s">
        <v>311</v>
      </c>
      <c r="P90" s="2" t="e">
        <f>(+D90/(1-O90))+$P$62</f>
        <v>#VALUE!</v>
      </c>
      <c r="Q90" s="68" t="e">
        <f t="shared" ca="1" si="22"/>
        <v>#VALUE!</v>
      </c>
      <c r="R90" s="56" t="s">
        <v>105</v>
      </c>
      <c r="S90" s="2"/>
      <c r="T90" s="4"/>
    </row>
    <row r="91" spans="1:20" ht="13">
      <c r="A91" s="59" t="s">
        <v>168</v>
      </c>
      <c r="B91" s="1" t="s">
        <v>3</v>
      </c>
      <c r="C91" s="7" t="s">
        <v>0</v>
      </c>
      <c r="D91" s="22" t="e">
        <f>SUM(H91+I91+J91)</f>
        <v>#VALUE!</v>
      </c>
      <c r="E91" s="2" t="s">
        <v>68</v>
      </c>
      <c r="F91" s="10" t="s">
        <v>170</v>
      </c>
      <c r="G91" s="26" t="s">
        <v>14</v>
      </c>
      <c r="H91" s="2" t="e">
        <f t="shared" si="25"/>
        <v>#VALUE!</v>
      </c>
      <c r="I91" s="8" t="s">
        <v>114</v>
      </c>
      <c r="J91" s="2"/>
      <c r="K91" s="2" t="e">
        <f t="shared" si="19"/>
        <v>#VALUE!</v>
      </c>
      <c r="L91" s="39" t="e">
        <f t="shared" si="20"/>
        <v>#VALUE!</v>
      </c>
      <c r="M91" s="147" t="s">
        <v>310</v>
      </c>
      <c r="N91" s="2"/>
      <c r="O91" s="48" t="s">
        <v>311</v>
      </c>
      <c r="P91" s="2" t="e">
        <f>(+D91/(1-O91))+$P$62</f>
        <v>#VALUE!</v>
      </c>
      <c r="Q91" s="68" t="e">
        <f t="shared" ca="1" si="22"/>
        <v>#VALUE!</v>
      </c>
      <c r="R91" s="56" t="s">
        <v>105</v>
      </c>
      <c r="S91" s="8"/>
      <c r="T91" s="4"/>
    </row>
    <row r="92" spans="1:20" ht="13">
      <c r="A92" s="7"/>
      <c r="B92" s="4"/>
      <c r="C92" s="7"/>
      <c r="D92" s="21"/>
      <c r="E92" s="8"/>
      <c r="F92" s="11"/>
      <c r="G92" s="43"/>
      <c r="H92" s="8"/>
      <c r="I92" s="8"/>
      <c r="J92" s="8"/>
      <c r="K92" s="8"/>
      <c r="L92" s="8"/>
      <c r="M92" s="51"/>
      <c r="N92" s="8"/>
      <c r="O92" s="51"/>
      <c r="P92" s="8"/>
      <c r="Q92" s="58"/>
      <c r="R92" s="58"/>
      <c r="S92" s="8"/>
      <c r="T92" s="4"/>
    </row>
    <row r="93" spans="1:20" ht="13">
      <c r="A93" s="7"/>
      <c r="B93" s="4"/>
      <c r="C93" s="7"/>
      <c r="D93" s="8"/>
      <c r="E93" s="8"/>
      <c r="F93" s="11"/>
      <c r="G93" s="43"/>
      <c r="H93" s="8"/>
      <c r="I93" s="8"/>
      <c r="J93" s="8"/>
      <c r="K93" s="8"/>
      <c r="L93" s="8"/>
      <c r="M93" s="51"/>
      <c r="N93" s="8"/>
      <c r="O93" s="51"/>
      <c r="P93" s="8"/>
      <c r="Q93" s="58"/>
      <c r="R93" s="58"/>
      <c r="S93" s="8"/>
      <c r="T93" s="4"/>
    </row>
    <row r="94" spans="1:20" ht="13">
      <c r="A94" s="5"/>
      <c r="B94" s="4"/>
      <c r="C94" s="5"/>
      <c r="D94" s="8"/>
      <c r="E94" s="8"/>
      <c r="F94" s="11"/>
      <c r="G94" s="26"/>
      <c r="H94" s="2"/>
      <c r="I94" s="2"/>
      <c r="J94" s="2"/>
      <c r="K94" s="2"/>
      <c r="L94" s="2"/>
      <c r="M94" s="49"/>
      <c r="N94" s="2"/>
      <c r="O94" s="49"/>
      <c r="P94" s="2"/>
      <c r="Q94" s="27"/>
      <c r="R94" s="27"/>
      <c r="S94" s="2"/>
      <c r="T94" s="1"/>
    </row>
    <row r="95" spans="1:20" ht="13">
      <c r="A95" s="5"/>
      <c r="B95" s="4"/>
      <c r="C95" s="5"/>
      <c r="D95" s="8"/>
      <c r="E95" s="8"/>
      <c r="F95" s="10"/>
      <c r="G95" s="26"/>
      <c r="H95" s="2"/>
      <c r="I95" s="2"/>
      <c r="J95" s="2"/>
      <c r="K95" s="2"/>
      <c r="L95" s="2"/>
      <c r="M95" s="49"/>
      <c r="N95" s="2"/>
      <c r="O95" s="49"/>
      <c r="P95" s="2"/>
      <c r="Q95" s="27"/>
      <c r="R95" s="27"/>
      <c r="S95" s="2"/>
      <c r="T95" s="1"/>
    </row>
    <row r="96" spans="1:20" ht="38.25" customHeight="1">
      <c r="A96" s="173" t="s">
        <v>276</v>
      </c>
      <c r="B96" s="174"/>
      <c r="C96" s="174"/>
      <c r="D96" s="174"/>
      <c r="E96" s="174"/>
      <c r="F96" s="174"/>
      <c r="G96" s="174"/>
      <c r="H96" s="174"/>
      <c r="I96" s="174"/>
      <c r="J96" s="174"/>
      <c r="K96" s="174"/>
      <c r="L96" s="174"/>
      <c r="M96" s="174"/>
      <c r="N96" s="174"/>
      <c r="O96" s="174"/>
      <c r="P96" s="174"/>
      <c r="Q96" s="174"/>
      <c r="R96" s="174"/>
      <c r="S96" s="2"/>
      <c r="T96" s="1"/>
    </row>
    <row r="97" spans="1:20" ht="13">
      <c r="A97" s="5"/>
      <c r="B97" s="4"/>
      <c r="C97" s="1"/>
      <c r="D97" s="8"/>
      <c r="E97" s="8"/>
      <c r="F97" s="1"/>
      <c r="G97" s="26"/>
      <c r="H97" s="2"/>
      <c r="I97" s="2"/>
      <c r="J97" s="2"/>
      <c r="K97" s="2"/>
      <c r="L97" s="2"/>
      <c r="M97" s="49"/>
      <c r="N97" s="2"/>
      <c r="O97" s="49"/>
      <c r="P97" s="2"/>
      <c r="Q97" s="27"/>
      <c r="R97" s="27"/>
      <c r="S97" s="2"/>
      <c r="T97" s="1"/>
    </row>
    <row r="98" spans="1:20" ht="13">
      <c r="A98" s="5"/>
      <c r="B98" s="4"/>
      <c r="C98" s="1"/>
      <c r="D98" s="8"/>
      <c r="E98" s="8"/>
      <c r="F98" s="1"/>
      <c r="G98" s="26"/>
      <c r="H98" s="2"/>
      <c r="I98" s="2"/>
      <c r="J98" s="2"/>
      <c r="K98" s="2"/>
      <c r="L98" s="2"/>
      <c r="M98" s="49"/>
      <c r="N98" s="2"/>
      <c r="O98" s="49"/>
      <c r="P98" s="2"/>
      <c r="Q98" s="27"/>
      <c r="R98" s="27"/>
      <c r="S98" s="2"/>
      <c r="T98" s="1"/>
    </row>
    <row r="99" spans="1:20" ht="13">
      <c r="A99" s="5"/>
      <c r="B99" s="4"/>
      <c r="C99" s="1"/>
      <c r="D99" s="8"/>
      <c r="E99" s="8"/>
      <c r="F99" s="1"/>
      <c r="G99" s="26"/>
      <c r="H99" s="2"/>
      <c r="I99" s="2"/>
      <c r="J99" s="2"/>
      <c r="K99" s="2"/>
      <c r="L99" s="2"/>
      <c r="M99" s="49"/>
      <c r="N99" s="2"/>
      <c r="O99" s="49"/>
      <c r="P99" s="2"/>
      <c r="Q99" s="27"/>
      <c r="R99" s="27"/>
      <c r="S99" s="2"/>
      <c r="T99" s="1"/>
    </row>
    <row r="100" spans="1:20" ht="13">
      <c r="A100" s="5"/>
      <c r="B100" s="4"/>
      <c r="C100" s="1"/>
      <c r="D100" s="8"/>
      <c r="E100" s="8"/>
      <c r="F100" s="1"/>
      <c r="G100" s="26"/>
      <c r="H100" s="2"/>
      <c r="I100" s="2"/>
      <c r="J100" s="2"/>
      <c r="K100" s="2"/>
      <c r="L100" s="2"/>
      <c r="M100" s="49"/>
      <c r="N100" s="2"/>
      <c r="O100" s="49"/>
      <c r="P100" s="2"/>
      <c r="Q100" s="27"/>
      <c r="R100" s="27"/>
      <c r="S100" s="2"/>
      <c r="T100" s="1"/>
    </row>
    <row r="101" spans="1:20" ht="13">
      <c r="A101" s="5"/>
      <c r="B101" s="4"/>
      <c r="C101" s="1"/>
      <c r="D101" s="8"/>
      <c r="E101" s="8"/>
      <c r="F101" s="1"/>
      <c r="G101" s="26"/>
      <c r="H101" s="2"/>
      <c r="I101" s="2"/>
      <c r="J101" s="2"/>
      <c r="K101" s="2"/>
      <c r="L101" s="2"/>
      <c r="M101" s="49"/>
      <c r="N101" s="2"/>
      <c r="O101" s="49"/>
      <c r="P101" s="2"/>
      <c r="Q101" s="27"/>
      <c r="R101" s="27"/>
      <c r="S101" s="2"/>
      <c r="T101" s="1"/>
    </row>
    <row r="102" spans="1:20" ht="13">
      <c r="A102" s="5"/>
      <c r="B102" s="4"/>
      <c r="C102" s="1"/>
      <c r="D102" s="8"/>
      <c r="E102" s="8"/>
      <c r="F102" s="1"/>
      <c r="G102" s="26"/>
      <c r="H102" s="2"/>
      <c r="I102" s="2"/>
      <c r="J102" s="2"/>
      <c r="K102" s="2"/>
      <c r="L102" s="2"/>
      <c r="M102" s="49"/>
      <c r="N102" s="2"/>
      <c r="O102" s="49"/>
      <c r="P102" s="2"/>
      <c r="Q102" s="27"/>
      <c r="R102" s="27"/>
      <c r="S102" s="2"/>
      <c r="T102" s="1"/>
    </row>
    <row r="103" spans="1:20" ht="13">
      <c r="A103" s="5"/>
      <c r="B103" s="4"/>
      <c r="C103" s="1"/>
      <c r="D103" s="8"/>
      <c r="E103" s="8"/>
      <c r="F103" s="1"/>
      <c r="G103" s="26"/>
      <c r="H103" s="2"/>
      <c r="I103" s="2"/>
      <c r="J103" s="2"/>
      <c r="K103" s="2"/>
      <c r="L103" s="2"/>
      <c r="M103" s="49"/>
      <c r="N103" s="2"/>
      <c r="O103" s="49"/>
      <c r="P103" s="2"/>
      <c r="Q103" s="27"/>
      <c r="R103" s="27"/>
      <c r="S103" s="2"/>
      <c r="T103" s="1"/>
    </row>
    <row r="104" spans="1:20" ht="13">
      <c r="A104" s="5"/>
      <c r="B104" s="4"/>
      <c r="C104" s="1"/>
      <c r="D104" s="8"/>
      <c r="E104" s="8"/>
      <c r="F104" s="1"/>
      <c r="G104" s="26"/>
      <c r="H104" s="2"/>
      <c r="I104" s="2"/>
      <c r="J104" s="2"/>
      <c r="K104" s="2"/>
      <c r="L104" s="2"/>
      <c r="M104" s="49"/>
      <c r="N104" s="2"/>
      <c r="O104" s="49"/>
      <c r="P104" s="2"/>
      <c r="Q104" s="27"/>
      <c r="R104" s="27"/>
      <c r="S104" s="2"/>
      <c r="T104" s="1"/>
    </row>
    <row r="105" spans="1:20" ht="13">
      <c r="A105" s="5"/>
      <c r="B105" s="4"/>
      <c r="C105" s="1"/>
      <c r="D105" s="8"/>
      <c r="E105" s="8"/>
      <c r="F105" s="1"/>
      <c r="G105" s="26"/>
      <c r="H105" s="2"/>
      <c r="I105" s="2"/>
      <c r="J105" s="2"/>
      <c r="K105" s="2"/>
      <c r="L105" s="2"/>
      <c r="M105" s="49"/>
      <c r="N105" s="2"/>
      <c r="O105" s="49"/>
      <c r="P105" s="2"/>
      <c r="Q105" s="27"/>
      <c r="R105" s="27"/>
      <c r="S105" s="2"/>
      <c r="T105" s="1"/>
    </row>
    <row r="106" spans="1:20" ht="13">
      <c r="A106" s="5"/>
      <c r="B106" s="4"/>
      <c r="C106" s="1"/>
      <c r="D106" s="8"/>
      <c r="E106" s="8"/>
      <c r="F106" s="1"/>
      <c r="G106" s="26"/>
      <c r="H106" s="2"/>
      <c r="I106" s="2"/>
      <c r="J106" s="2"/>
      <c r="K106" s="2"/>
      <c r="L106" s="2"/>
      <c r="M106" s="49"/>
      <c r="N106" s="2"/>
      <c r="O106" s="49"/>
      <c r="P106" s="2"/>
      <c r="Q106" s="27"/>
      <c r="R106" s="27"/>
      <c r="S106" s="2"/>
      <c r="T106" s="1"/>
    </row>
    <row r="107" spans="1:20" ht="13">
      <c r="A107" s="5"/>
      <c r="B107" s="4"/>
      <c r="C107" s="1"/>
      <c r="D107" s="8"/>
      <c r="E107" s="8"/>
      <c r="F107" s="1"/>
      <c r="G107" s="26"/>
      <c r="H107" s="2"/>
      <c r="I107" s="2"/>
      <c r="J107" s="2"/>
      <c r="K107" s="2"/>
      <c r="L107" s="2"/>
      <c r="M107" s="49"/>
      <c r="N107" s="2"/>
      <c r="O107" s="49"/>
      <c r="P107" s="2"/>
      <c r="Q107" s="27"/>
      <c r="R107" s="27"/>
      <c r="S107" s="2"/>
      <c r="T107" s="1"/>
    </row>
    <row r="108" spans="1:20" ht="13">
      <c r="A108" s="5"/>
      <c r="B108" s="4"/>
      <c r="C108" s="1"/>
      <c r="D108" s="8"/>
      <c r="E108" s="8"/>
      <c r="F108" s="1"/>
      <c r="G108" s="26"/>
      <c r="H108" s="2"/>
      <c r="I108" s="2"/>
      <c r="J108" s="2"/>
      <c r="K108" s="2"/>
      <c r="L108" s="2"/>
      <c r="M108" s="49"/>
      <c r="N108" s="2"/>
      <c r="O108" s="49"/>
      <c r="P108" s="2"/>
      <c r="Q108" s="27"/>
      <c r="R108" s="27"/>
      <c r="S108" s="2"/>
      <c r="T108" s="1"/>
    </row>
    <row r="109" spans="1:20" ht="13">
      <c r="A109" s="5"/>
      <c r="B109" s="4"/>
      <c r="C109" s="1"/>
      <c r="D109" s="8"/>
      <c r="E109" s="8"/>
      <c r="F109" s="1"/>
      <c r="G109" s="26"/>
      <c r="H109" s="2"/>
      <c r="I109" s="2"/>
      <c r="J109" s="2"/>
      <c r="K109" s="2"/>
      <c r="L109" s="2"/>
      <c r="M109" s="49"/>
      <c r="N109" s="2"/>
      <c r="O109" s="49"/>
      <c r="P109" s="2"/>
      <c r="Q109" s="27"/>
      <c r="R109" s="27"/>
      <c r="S109" s="2"/>
      <c r="T109" s="1"/>
    </row>
  </sheetData>
  <mergeCells count="3">
    <mergeCell ref="A27:B27"/>
    <mergeCell ref="B1:R1"/>
    <mergeCell ref="A96:R96"/>
  </mergeCells>
  <phoneticPr fontId="0" type="noConversion"/>
  <conditionalFormatting sqref="Q8:Q25 Q37:Q52 Q64:Q91">
    <cfRule type="cellIs" dxfId="2" priority="4" stopIfTrue="1" operator="between">
      <formula>180</formula>
      <formula>240</formula>
    </cfRule>
    <cfRule type="cellIs" dxfId="1" priority="5" stopIfTrue="1" operator="between">
      <formula>241</formula>
      <formula>365</formula>
    </cfRule>
    <cfRule type="cellIs" dxfId="0" priority="6" stopIfTrue="1" operator="between">
      <formula>366</formula>
      <formula>2000</formula>
    </cfRule>
  </conditionalFormatting>
  <printOptions horizontalCentered="1" gridLines="1"/>
  <pageMargins left="0" right="0" top="0.5" bottom="0.5" header="0.5" footer="0.5"/>
  <pageSetup scale="35" orientation="landscape" horizontalDpi="4294967292" verticalDpi="4294967292"/>
  <headerFooter alignWithMargins="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C58"/>
  <sheetViews>
    <sheetView topLeftCell="A36" workbookViewId="0">
      <selection activeCell="C42" sqref="C42"/>
    </sheetView>
  </sheetViews>
  <sheetFormatPr baseColWidth="10" defaultColWidth="10.83203125" defaultRowHeight="12" x14ac:dyDescent="0"/>
  <cols>
    <col min="1" max="1" width="3.5" style="124" customWidth="1"/>
    <col min="2" max="2" width="41" style="93" customWidth="1"/>
    <col min="3" max="3" width="111.5" style="92" customWidth="1"/>
    <col min="4" max="16384" width="10.83203125" style="92"/>
  </cols>
  <sheetData>
    <row r="1" spans="1:3" s="94" customFormat="1" ht="17">
      <c r="A1" s="156" t="s">
        <v>315</v>
      </c>
      <c r="B1" s="155" t="s">
        <v>314</v>
      </c>
      <c r="C1" s="154" t="s">
        <v>313</v>
      </c>
    </row>
    <row r="2" spans="1:3" s="94" customFormat="1" ht="17">
      <c r="A2" s="123"/>
      <c r="B2" s="119"/>
    </row>
    <row r="3" spans="1:3" ht="36">
      <c r="A3" s="125" t="s">
        <v>213</v>
      </c>
      <c r="B3" s="97" t="s">
        <v>193</v>
      </c>
      <c r="C3" s="157" t="s">
        <v>316</v>
      </c>
    </row>
    <row r="4" spans="1:3">
      <c r="A4" s="125"/>
      <c r="B4" s="97"/>
      <c r="C4" s="97"/>
    </row>
    <row r="5" spans="1:3">
      <c r="A5" s="125" t="s">
        <v>214</v>
      </c>
      <c r="B5" s="97" t="s">
        <v>204</v>
      </c>
      <c r="C5" s="92" t="s">
        <v>177</v>
      </c>
    </row>
    <row r="6" spans="1:3">
      <c r="A6" s="125"/>
      <c r="B6" s="97"/>
    </row>
    <row r="7" spans="1:3" ht="36">
      <c r="A7" s="125" t="s">
        <v>215</v>
      </c>
      <c r="B7" s="93" t="s">
        <v>178</v>
      </c>
      <c r="C7" s="97" t="s">
        <v>210</v>
      </c>
    </row>
    <row r="8" spans="1:3">
      <c r="A8" s="125"/>
      <c r="C8" s="97"/>
    </row>
    <row r="9" spans="1:3" ht="24">
      <c r="A9" s="125" t="s">
        <v>216</v>
      </c>
      <c r="B9" s="93" t="s">
        <v>181</v>
      </c>
      <c r="C9" s="93" t="s">
        <v>182</v>
      </c>
    </row>
    <row r="10" spans="1:3">
      <c r="A10" s="125"/>
      <c r="C10" s="93"/>
    </row>
    <row r="11" spans="1:3" ht="24">
      <c r="A11" s="125" t="s">
        <v>217</v>
      </c>
      <c r="B11" s="93" t="s">
        <v>179</v>
      </c>
      <c r="C11" s="93" t="s">
        <v>180</v>
      </c>
    </row>
    <row r="12" spans="1:3">
      <c r="A12" s="125"/>
      <c r="C12" s="93"/>
    </row>
    <row r="13" spans="1:3" ht="36">
      <c r="A13" s="125" t="s">
        <v>218</v>
      </c>
      <c r="B13" s="122" t="s">
        <v>237</v>
      </c>
      <c r="C13" s="138" t="s">
        <v>277</v>
      </c>
    </row>
    <row r="14" spans="1:3">
      <c r="A14" s="125"/>
      <c r="B14" s="122"/>
      <c r="C14" s="97"/>
    </row>
    <row r="15" spans="1:3" ht="48">
      <c r="A15" s="125" t="s">
        <v>219</v>
      </c>
      <c r="B15" s="93" t="s">
        <v>183</v>
      </c>
      <c r="C15" s="157" t="s">
        <v>317</v>
      </c>
    </row>
    <row r="16" spans="1:3">
      <c r="A16" s="125"/>
      <c r="C16" s="97"/>
    </row>
    <row r="17" spans="1:3" ht="39.75" customHeight="1">
      <c r="A17" s="125" t="s">
        <v>220</v>
      </c>
      <c r="B17" s="122" t="s">
        <v>240</v>
      </c>
      <c r="C17" s="138" t="s">
        <v>278</v>
      </c>
    </row>
    <row r="18" spans="1:3">
      <c r="A18" s="125"/>
      <c r="B18" s="122"/>
      <c r="C18" s="97"/>
    </row>
    <row r="19" spans="1:3">
      <c r="A19" s="125" t="s">
        <v>221</v>
      </c>
      <c r="B19" s="122" t="s">
        <v>238</v>
      </c>
      <c r="C19" s="139" t="s">
        <v>279</v>
      </c>
    </row>
    <row r="20" spans="1:3">
      <c r="A20" s="125"/>
      <c r="B20" s="122"/>
      <c r="C20" s="98"/>
    </row>
    <row r="21" spans="1:3">
      <c r="A21" s="125" t="s">
        <v>222</v>
      </c>
      <c r="B21" s="122" t="s">
        <v>244</v>
      </c>
      <c r="C21" s="148" t="s">
        <v>206</v>
      </c>
    </row>
    <row r="22" spans="1:3">
      <c r="A22" s="125"/>
      <c r="B22" s="122"/>
      <c r="C22" s="148"/>
    </row>
    <row r="23" spans="1:3" ht="17.25" customHeight="1">
      <c r="A23" s="125" t="s">
        <v>223</v>
      </c>
      <c r="B23" s="97" t="s">
        <v>207</v>
      </c>
      <c r="C23" s="140" t="s">
        <v>280</v>
      </c>
    </row>
    <row r="24" spans="1:3">
      <c r="A24" s="125"/>
      <c r="B24" s="97"/>
      <c r="C24" s="118"/>
    </row>
    <row r="25" spans="1:3" ht="48">
      <c r="A25" s="125" t="s">
        <v>224</v>
      </c>
      <c r="B25" s="138" t="s">
        <v>281</v>
      </c>
      <c r="C25" s="158" t="s">
        <v>318</v>
      </c>
    </row>
    <row r="26" spans="1:3">
      <c r="A26" s="125"/>
      <c r="B26" s="97"/>
      <c r="C26" s="118"/>
    </row>
    <row r="27" spans="1:3" ht="24">
      <c r="A27" s="126" t="s">
        <v>225</v>
      </c>
      <c r="B27" s="120" t="s">
        <v>236</v>
      </c>
      <c r="C27" s="140" t="s">
        <v>282</v>
      </c>
    </row>
    <row r="28" spans="1:3">
      <c r="A28" s="126"/>
      <c r="B28" s="120"/>
      <c r="C28" s="118"/>
    </row>
    <row r="29" spans="1:3" ht="24">
      <c r="A29" s="125" t="s">
        <v>226</v>
      </c>
      <c r="B29" s="122" t="s">
        <v>242</v>
      </c>
      <c r="C29" s="140" t="s">
        <v>283</v>
      </c>
    </row>
    <row r="30" spans="1:3">
      <c r="A30" s="125"/>
      <c r="B30" s="122"/>
      <c r="C30" s="120"/>
    </row>
    <row r="31" spans="1:3" ht="36">
      <c r="A31" s="125" t="s">
        <v>227</v>
      </c>
      <c r="B31" s="97" t="s">
        <v>208</v>
      </c>
      <c r="C31" s="140" t="s">
        <v>284</v>
      </c>
    </row>
    <row r="32" spans="1:3">
      <c r="A32" s="125"/>
      <c r="B32" s="97"/>
      <c r="C32" s="118"/>
    </row>
    <row r="33" spans="1:3" ht="60">
      <c r="A33" s="125" t="s">
        <v>228</v>
      </c>
      <c r="B33" s="97" t="s">
        <v>209</v>
      </c>
      <c r="C33" s="140" t="s">
        <v>285</v>
      </c>
    </row>
    <row r="34" spans="1:3">
      <c r="A34" s="125"/>
      <c r="B34" s="97"/>
      <c r="C34" s="118"/>
    </row>
    <row r="35" spans="1:3" ht="48">
      <c r="A35" s="125" t="s">
        <v>229</v>
      </c>
      <c r="B35" s="122" t="s">
        <v>241</v>
      </c>
      <c r="C35" s="140" t="s">
        <v>286</v>
      </c>
    </row>
    <row r="36" spans="1:3">
      <c r="A36" s="125"/>
      <c r="B36" s="122"/>
      <c r="C36" s="118"/>
    </row>
    <row r="37" spans="1:3">
      <c r="A37" s="125" t="s">
        <v>230</v>
      </c>
      <c r="B37" s="93" t="s">
        <v>184</v>
      </c>
      <c r="C37" s="118" t="s">
        <v>205</v>
      </c>
    </row>
    <row r="38" spans="1:3">
      <c r="A38" s="125"/>
      <c r="C38" s="118"/>
    </row>
    <row r="39" spans="1:3" ht="27" customHeight="1">
      <c r="A39" s="125" t="s">
        <v>231</v>
      </c>
      <c r="B39" s="138" t="s">
        <v>289</v>
      </c>
      <c r="C39" s="158" t="s">
        <v>319</v>
      </c>
    </row>
    <row r="40" spans="1:3">
      <c r="A40" s="125"/>
      <c r="B40" s="122"/>
      <c r="C40" s="148"/>
    </row>
    <row r="41" spans="1:3" ht="24">
      <c r="A41" s="125" t="s">
        <v>232</v>
      </c>
      <c r="B41" s="122" t="s">
        <v>185</v>
      </c>
      <c r="C41" s="140" t="s">
        <v>290</v>
      </c>
    </row>
    <row r="42" spans="1:3">
      <c r="A42" s="125"/>
      <c r="B42" s="122"/>
      <c r="C42" s="118"/>
    </row>
    <row r="43" spans="1:3" ht="24">
      <c r="A43" s="126" t="s">
        <v>233</v>
      </c>
      <c r="B43" s="140" t="s">
        <v>295</v>
      </c>
      <c r="C43" s="120" t="s">
        <v>296</v>
      </c>
    </row>
    <row r="44" spans="1:3" ht="13.5" customHeight="1">
      <c r="A44" s="126"/>
      <c r="B44" s="140" t="s">
        <v>294</v>
      </c>
      <c r="C44" s="140"/>
    </row>
    <row r="45" spans="1:3" ht="36">
      <c r="A45" s="126" t="s">
        <v>234</v>
      </c>
      <c r="B45" s="140" t="s">
        <v>304</v>
      </c>
      <c r="C45" s="149" t="s">
        <v>297</v>
      </c>
    </row>
    <row r="46" spans="1:3">
      <c r="A46" s="126"/>
      <c r="B46" s="120"/>
      <c r="C46" s="118"/>
    </row>
    <row r="47" spans="1:3" ht="36">
      <c r="A47" s="126" t="s">
        <v>235</v>
      </c>
      <c r="B47" s="140" t="s">
        <v>291</v>
      </c>
      <c r="C47" s="140" t="s">
        <v>298</v>
      </c>
    </row>
    <row r="48" spans="1:3">
      <c r="A48" s="126"/>
      <c r="B48" s="120"/>
      <c r="C48" s="118"/>
    </row>
    <row r="49" spans="1:3">
      <c r="A49" s="125" t="s">
        <v>299</v>
      </c>
      <c r="B49" s="122" t="s">
        <v>243</v>
      </c>
      <c r="C49" s="150" t="s">
        <v>186</v>
      </c>
    </row>
    <row r="50" spans="1:3">
      <c r="A50" s="125"/>
      <c r="B50" s="122"/>
      <c r="C50" s="150"/>
    </row>
    <row r="51" spans="1:3">
      <c r="A51" s="125" t="s">
        <v>300</v>
      </c>
      <c r="B51" s="122" t="s">
        <v>246</v>
      </c>
      <c r="C51" s="92" t="s">
        <v>187</v>
      </c>
    </row>
    <row r="52" spans="1:3">
      <c r="A52" s="125"/>
      <c r="B52" s="122"/>
    </row>
    <row r="53" spans="1:3">
      <c r="C53" s="98"/>
    </row>
    <row r="54" spans="1:3" ht="48">
      <c r="B54" s="152" t="s">
        <v>188</v>
      </c>
      <c r="C54" s="153" t="s">
        <v>305</v>
      </c>
    </row>
    <row r="56" spans="1:3">
      <c r="C56" s="97"/>
    </row>
    <row r="58" spans="1:3">
      <c r="C58" s="93"/>
    </row>
  </sheetData>
  <phoneticPr fontId="0" type="noConversion"/>
  <printOptions horizontalCentered="1" verticalCentered="1"/>
  <pageMargins left="0" right="0" top="0" bottom="0" header="0" footer="0"/>
  <pageSetup scale="61" orientation="portrait" horizontalDpi="4294967292" verticalDpi="4294967292"/>
  <headerFooter alignWithMargins="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Welcome!</vt:lpstr>
      <vt:lpstr>Sample Spreadsheet</vt:lpstr>
      <vt:lpstr>Blank Spreadsheet</vt:lpstr>
      <vt:lpstr>Details</vt:lpstr>
    </vt:vector>
  </TitlesOfParts>
  <Company>Shipyard Marine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Amy Le Veille</dc:creator>
  <cp:lastModifiedBy>Matt Gruhn</cp:lastModifiedBy>
  <cp:lastPrinted>2012-10-24T20:07:29Z</cp:lastPrinted>
  <dcterms:created xsi:type="dcterms:W3CDTF">2001-08-09T15:47:17Z</dcterms:created>
  <dcterms:modified xsi:type="dcterms:W3CDTF">2013-01-04T13:16:32Z</dcterms:modified>
</cp:coreProperties>
</file>